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comment1.xml" ContentType="application/vnd.openxmlformats-officedocument.spreadsheetml.comments+xml"/>
  <Override PartName="/xl/worksheets/sheet5.xml" ContentType="application/vnd.openxmlformats-officedocument.spreadsheetml.worksheet+xml"/>
  <Override PartName="/xl/comments/comment2.xml" ContentType="application/vnd.openxmlformats-officedocument.spreadsheetml.comments+xml"/>
  <Override PartName="/xl/worksheets/sheet6.xml" ContentType="application/vnd.openxmlformats-officedocument.spreadsheetml.worksheet+xml"/>
  <Override PartName="/xl/comments/comment3.xml" ContentType="application/vnd.openxmlformats-officedocument.spreadsheetml.comment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HZ_RESUMEN_VISUAL" sheetId="1" state="visible" r:id="rId1"/>
    <sheet xmlns:r="http://schemas.openxmlformats.org/officeDocument/2006/relationships" name="HZ_AUDITORIA" sheetId="2" state="visible" r:id="rId2"/>
    <sheet xmlns:r="http://schemas.openxmlformats.org/officeDocument/2006/relationships" name="INICIO" sheetId="3" state="visible" r:id="rId3"/>
    <sheet xmlns:r="http://schemas.openxmlformats.org/officeDocument/2006/relationships" name="PARAMS" sheetId="4" state="visible" r:id="rId4"/>
    <sheet xmlns:r="http://schemas.openxmlformats.org/officeDocument/2006/relationships" name="PERFIL_TRIBUTARIO" sheetId="5" state="visible" r:id="rId5"/>
    <sheet xmlns:r="http://schemas.openxmlformats.org/officeDocument/2006/relationships" name="INPUTS_110" sheetId="6" state="visible" r:id="rId6"/>
    <sheet xmlns:r="http://schemas.openxmlformats.org/officeDocument/2006/relationships" name="BENEFICIOS_Y_LIMITES" sheetId="7" state="visible" r:id="rId7"/>
    <sheet xmlns:r="http://schemas.openxmlformats.org/officeDocument/2006/relationships" name="TASA_MINIMA_TTD" sheetId="8" state="visible" r:id="rId8"/>
    <sheet xmlns:r="http://schemas.openxmlformats.org/officeDocument/2006/relationships" name="LIQUIDACION_110" sheetId="9" state="visible" r:id="rId9"/>
    <sheet xmlns:r="http://schemas.openxmlformats.org/officeDocument/2006/relationships" name="FORMULARIO_110" sheetId="10" state="visible" r:id="rId10"/>
    <sheet xmlns:r="http://schemas.openxmlformats.org/officeDocument/2006/relationships" name="FORMULARIO_110_DIAN" sheetId="11" state="visible" r:id="rId11"/>
    <sheet xmlns:r="http://schemas.openxmlformats.org/officeDocument/2006/relationships" name="RESUMEN" sheetId="12" state="visible" r:id="rId12"/>
    <sheet xmlns:r="http://schemas.openxmlformats.org/officeDocument/2006/relationships" name="VALIDACIONES" sheetId="13" state="visible" r:id="rId13"/>
    <sheet xmlns:r="http://schemas.openxmlformats.org/officeDocument/2006/relationships" name="CHECKLIST_SOPORTES" sheetId="14" state="visible" r:id="rId14"/>
    <sheet xmlns:r="http://schemas.openxmlformats.org/officeDocument/2006/relationships" name="MAPA_FORMULARIO_110" sheetId="15" state="visible" r:id="rId15"/>
    <sheet xmlns:r="http://schemas.openxmlformats.org/officeDocument/2006/relationships" name="FUENTES" sheetId="16" state="visible" r:id="rId16"/>
  </sheets>
  <definedNames>
    <definedName name="_xlnm.Print_Area" localSheetId="9">'FORMULARIO_110'!$A$1:$P$38</definedName>
    <definedName name="_xlnm.Print_Area" localSheetId="10">'FORMULARIO_110_DIAN'!$A$1:$X$58</definedName>
  </definedNames>
  <calcPr calcId="124519" calcMode="auto" fullCalcOnLoad="1" forceFullCalc="1"/>
</workbook>
</file>

<file path=xl/styles.xml><?xml version="1.0" encoding="utf-8"?>
<styleSheet xmlns="http://schemas.openxmlformats.org/spreadsheetml/2006/main">
  <numFmts count="4">
    <numFmt numFmtId="164" formatCode="#,##0;[Red](#,##0);-"/>
    <numFmt numFmtId="165" formatCode="0.0%"/>
    <numFmt numFmtId="166" formatCode="0.0%;[Red](0.0%);-"/>
    <numFmt numFmtId="167" formatCode="0.0"/>
  </numFmts>
  <fonts count="22">
    <font>
      <name val="Calibri"/>
      <family val="2"/>
      <color theme="1"/>
      <sz val="11"/>
      <scheme val="minor"/>
    </font>
    <font>
      <b val="1"/>
      <color rgb="00FFFFFF"/>
      <sz val="16"/>
    </font>
    <font>
      <b val="1"/>
      <color rgb="000F243E"/>
    </font>
    <font>
      <b val="1"/>
      <color rgb="000F243E"/>
      <sz val="11"/>
    </font>
    <font>
      <b val="1"/>
      <color rgb="000F243E"/>
      <sz val="12"/>
    </font>
    <font>
      <b val="1"/>
      <color rgb="000F243E"/>
      <sz val="14"/>
    </font>
    <font>
      <b val="1"/>
      <color rgb="00FFFFFF"/>
    </font>
    <font>
      <color rgb="000F243E"/>
      <sz val="28"/>
    </font>
    <font>
      <b val="1"/>
      <color rgb="00FFFFFF"/>
      <sz val="28"/>
    </font>
    <font>
      <color rgb="000F243E"/>
      <sz val="9"/>
    </font>
    <font>
      <b val="1"/>
      <color rgb="000F243E"/>
      <sz val="10"/>
    </font>
    <font>
      <b val="1"/>
      <color rgb="00FFFFFF"/>
      <sz val="11"/>
    </font>
    <font>
      <b val="1"/>
      <color rgb="000F243E"/>
      <sz val="9"/>
    </font>
    <font>
      <color rgb="000F243E"/>
      <sz val="8"/>
    </font>
    <font>
      <b val="1"/>
      <color rgb="00FFFFFF"/>
      <sz val="30"/>
    </font>
    <font>
      <b val="1"/>
      <color rgb="000F243E"/>
      <sz val="8"/>
    </font>
    <font>
      <b val="1"/>
      <color rgb="000F243E"/>
      <sz val="16"/>
    </font>
    <font>
      <b val="1"/>
      <color rgb="00FFFFFF"/>
      <sz val="14"/>
    </font>
    <font>
      <i val="1"/>
      <color rgb="00666666"/>
      <sz val="9"/>
    </font>
    <font>
      <b val="1"/>
    </font>
    <font>
      <b val="1"/>
      <sz val="12"/>
    </font>
    <font>
      <color rgb="000563C1"/>
      <u val="single"/>
    </font>
  </fonts>
  <fills count="14">
    <fill>
      <patternFill/>
    </fill>
    <fill>
      <patternFill patternType="gray125"/>
    </fill>
    <fill>
      <patternFill patternType="solid">
        <fgColor rgb="000F243E"/>
      </patternFill>
    </fill>
    <fill>
      <patternFill patternType="solid">
        <fgColor rgb="00EAF2F8"/>
      </patternFill>
    </fill>
    <fill>
      <patternFill patternType="solid">
        <fgColor rgb="00E7E6E6"/>
      </patternFill>
    </fill>
    <fill>
      <patternFill patternType="solid">
        <fgColor rgb="00D9EDEB"/>
      </patternFill>
    </fill>
    <fill>
      <patternFill patternType="solid">
        <fgColor rgb="00DCE6F1"/>
      </patternFill>
    </fill>
    <fill>
      <patternFill patternType="solid">
        <fgColor rgb="00FFFFFF"/>
      </patternFill>
    </fill>
    <fill>
      <patternFill patternType="solid">
        <fgColor rgb="00C9A227"/>
      </patternFill>
    </fill>
    <fill>
      <patternFill patternType="solid">
        <fgColor rgb="00FCE4D6"/>
      </patternFill>
    </fill>
    <fill>
      <patternFill patternType="solid">
        <fgColor rgb="001F4E78"/>
      </patternFill>
    </fill>
    <fill>
      <patternFill patternType="solid">
        <fgColor rgb="00F3F4F6"/>
      </patternFill>
    </fill>
    <fill>
      <patternFill patternType="solid">
        <fgColor rgb="00D9EAF7"/>
      </patternFill>
    </fill>
    <fill>
      <patternFill patternType="solid">
        <fgColor rgb="00E2F0D9"/>
      </patternFill>
    </fill>
  </fills>
  <borders count="30">
    <border>
      <left/>
      <right/>
      <top/>
      <bottom/>
      <diagonal/>
    </border>
    <border>
      <left style="thin">
        <color rgb="00D0D7DE"/>
      </left>
      <right style="thin">
        <color rgb="00D0D7DE"/>
      </right>
      <top style="thin">
        <color rgb="00D0D7DE"/>
      </top>
      <bottom style="thin">
        <color rgb="00D0D7DE"/>
      </bottom>
    </border>
    <border>
      <left style="medium">
        <color rgb="000F243E"/>
      </left>
      <right style="medium">
        <color rgb="000F243E"/>
      </right>
      <top style="medium">
        <color rgb="000F243E"/>
      </top>
      <bottom style="medium">
        <color rgb="000F243E"/>
      </bottom>
    </border>
    <border>
      <left style="thin">
        <color rgb="00D0D7DE"/>
      </left>
      <right style="thin">
        <color rgb="00D0D7DE"/>
      </right>
      <top style="medium">
        <color rgb="000F243E"/>
      </top>
      <bottom style="thin">
        <color rgb="00D0D7DE"/>
      </bottom>
    </border>
    <border>
      <left/>
      <right/>
      <top style="thin">
        <color rgb="00D0D7DE"/>
      </top>
      <bottom/>
      <diagonal/>
    </border>
    <border>
      <left style="thin">
        <color rgb="00D0D7DE"/>
      </left>
      <right/>
      <top/>
      <bottom/>
      <diagonal/>
    </border>
    <border>
      <left/>
      <right style="thin">
        <color rgb="00D0D7DE"/>
      </right>
      <top style="thin">
        <color rgb="00D0D7DE"/>
      </top>
      <bottom/>
      <diagonal/>
    </border>
    <border>
      <left/>
      <right style="thin">
        <color rgb="00D0D7DE"/>
      </right>
      <top/>
      <bottom/>
      <diagonal/>
    </border>
    <border>
      <left style="thin">
        <color rgb="00D0D7DE"/>
      </left>
      <right/>
      <top/>
      <bottom style="thin">
        <color rgb="00D0D7DE"/>
      </bottom>
      <diagonal/>
    </border>
    <border>
      <left/>
      <right/>
      <top/>
      <bottom style="thin">
        <color rgb="00D0D7DE"/>
      </bottom>
      <diagonal/>
    </border>
    <border>
      <left/>
      <right style="thin">
        <color rgb="00D0D7DE"/>
      </right>
      <top/>
      <bottom style="thin">
        <color rgb="00D0D7DE"/>
      </bottom>
      <diagonal/>
    </border>
    <border>
      <left/>
      <right style="thin">
        <color rgb="00D0D7DE"/>
      </right>
      <top style="thin">
        <color rgb="00D0D7DE"/>
      </top>
      <bottom style="thin">
        <color rgb="00D0D7DE"/>
      </bottom>
      <diagonal/>
    </border>
    <border>
      <left/>
      <right/>
      <top style="thin">
        <color rgb="00D0D7DE"/>
      </top>
      <bottom style="thin">
        <color rgb="00D0D7DE"/>
      </bottom>
      <diagonal/>
    </border>
    <border>
      <left style="thin">
        <color rgb="00D0D7DE"/>
      </left>
      <right style="thin">
        <color rgb="00D0D7DE"/>
      </right>
      <top/>
      <bottom/>
      <diagonal/>
    </border>
    <border>
      <left style="thin">
        <color rgb="00D0D7DE"/>
      </left>
      <right style="thin">
        <color rgb="00D0D7DE"/>
      </right>
      <top/>
      <bottom style="thin">
        <color rgb="00D0D7DE"/>
      </bottom>
      <diagonal/>
    </border>
    <border>
      <left/>
      <right/>
      <top style="medium">
        <color rgb="000F243E"/>
      </top>
      <bottom/>
      <diagonal/>
    </border>
    <border>
      <left style="medium">
        <color rgb="000F243E"/>
      </left>
      <right/>
      <top/>
      <bottom/>
      <diagonal/>
    </border>
    <border>
      <left/>
      <right style="medium">
        <color rgb="000F243E"/>
      </right>
      <top style="medium">
        <color rgb="000F243E"/>
      </top>
      <bottom/>
      <diagonal/>
    </border>
    <border>
      <left/>
      <right style="medium">
        <color rgb="000F243E"/>
      </right>
      <top/>
      <bottom/>
      <diagonal/>
    </border>
    <border>
      <left style="medium">
        <color rgb="000F243E"/>
      </left>
      <right/>
      <top/>
      <bottom style="medium">
        <color rgb="000F243E"/>
      </bottom>
      <diagonal/>
    </border>
    <border>
      <left/>
      <right/>
      <top/>
      <bottom style="medium">
        <color rgb="000F243E"/>
      </bottom>
      <diagonal/>
    </border>
    <border>
      <left/>
      <right style="medium">
        <color rgb="000F243E"/>
      </right>
      <top/>
      <bottom style="medium">
        <color rgb="000F243E"/>
      </bottom>
      <diagonal/>
    </border>
    <border>
      <left/>
      <right style="thin">
        <color rgb="00D0D7DE"/>
      </right>
      <top style="medium">
        <color rgb="000F243E"/>
      </top>
      <bottom/>
      <diagonal/>
    </border>
    <border>
      <left/>
      <right/>
      <top style="medium">
        <color rgb="000F243E"/>
      </top>
      <bottom style="thin">
        <color rgb="00D0D7DE"/>
      </bottom>
      <diagonal/>
    </border>
    <border>
      <left/>
      <right style="thin">
        <color rgb="00D0D7DE"/>
      </right>
      <top style="medium">
        <color rgb="000F243E"/>
      </top>
      <bottom style="thin">
        <color rgb="00D0D7DE"/>
      </bottom>
      <diagonal/>
    </border>
    <border>
      <left style="thin">
        <color rgb="00D9E2F3"/>
      </left>
      <right style="thin">
        <color rgb="00D9E2F3"/>
      </right>
      <top style="thin">
        <color rgb="00D9E2F3"/>
      </top>
      <bottom style="thin">
        <color rgb="00D9E2F3"/>
      </bottom>
    </border>
    <border>
      <left/>
      <right/>
      <top style="thin">
        <color rgb="00D9E2F3"/>
      </top>
      <bottom/>
      <diagonal/>
    </border>
    <border>
      <left/>
      <right style="thin">
        <color rgb="00D9E2F3"/>
      </right>
      <top style="thin">
        <color rgb="00D9E2F3"/>
      </top>
      <bottom/>
      <diagonal/>
    </border>
    <border>
      <left/>
      <right/>
      <top style="thin">
        <color rgb="00D9E2F3"/>
      </top>
      <bottom style="thin">
        <color rgb="00D9E2F3"/>
      </bottom>
      <diagonal/>
    </border>
    <border>
      <left/>
      <right style="thin">
        <color rgb="00D9E2F3"/>
      </right>
      <top style="thin">
        <color rgb="00D9E2F3"/>
      </top>
      <bottom style="thin">
        <color rgb="00D9E2F3"/>
      </bottom>
      <diagonal/>
    </border>
  </borders>
  <cellStyleXfs count="1">
    <xf numFmtId="0" fontId="0" fillId="0" borderId="0"/>
  </cellStyleXfs>
  <cellXfs count="128">
    <xf numFmtId="0" fontId="0" fillId="0" borderId="0" pivotButton="0" quotePrefix="0" xfId="0"/>
    <xf numFmtId="0" fontId="1" fillId="2" borderId="1" applyAlignment="1" pivotButton="0" quotePrefix="0" xfId="0">
      <alignment vertical="center" wrapText="1"/>
    </xf>
    <xf numFmtId="0" fontId="0" fillId="0" borderId="0" applyAlignment="1" pivotButton="0" quotePrefix="0" xfId="0">
      <alignment vertical="center" wrapText="1"/>
    </xf>
    <xf numFmtId="0" fontId="2" fillId="3" borderId="1" applyAlignment="1" pivotButton="0" quotePrefix="0" xfId="0">
      <alignment horizontal="center" vertical="center" wrapText="1"/>
    </xf>
    <xf numFmtId="0" fontId="3" fillId="4" borderId="2" applyAlignment="1" pivotButton="0" quotePrefix="0" xfId="0">
      <alignment horizontal="center" vertical="center" wrapText="1"/>
    </xf>
    <xf numFmtId="0" fontId="2" fillId="0" borderId="0" applyAlignment="1" pivotButton="0" quotePrefix="0" xfId="0">
      <alignment vertical="center" wrapText="1"/>
    </xf>
    <xf numFmtId="164" fontId="5" fillId="5" borderId="1" applyAlignment="1" pivotButton="0" quotePrefix="0" xfId="0">
      <alignment vertical="center" wrapText="1"/>
    </xf>
    <xf numFmtId="0" fontId="6" fillId="2" borderId="1" applyAlignment="1" pivotButton="0" quotePrefix="0" xfId="0">
      <alignment horizontal="center" vertical="center" wrapText="1"/>
    </xf>
    <xf numFmtId="0" fontId="2" fillId="4" borderId="1" applyAlignment="1" pivotButton="0" quotePrefix="0" xfId="0">
      <alignment vertical="center" wrapText="1"/>
    </xf>
    <xf numFmtId="1" fontId="0" fillId="0" borderId="1" applyAlignment="1" applyProtection="1" pivotButton="0" quotePrefix="0" xfId="0">
      <alignment vertical="center" wrapText="1"/>
      <protection locked="0" hidden="0"/>
    </xf>
    <xf numFmtId="0" fontId="0" fillId="0" borderId="1" applyAlignment="1" pivotButton="0" quotePrefix="0" xfId="0">
      <alignment vertical="center" wrapText="1"/>
    </xf>
    <xf numFmtId="165" fontId="0" fillId="6" borderId="1" applyAlignment="1" applyProtection="1" pivotButton="0" quotePrefix="0" xfId="0">
      <alignment vertical="center" wrapText="1"/>
      <protection locked="0" hidden="0"/>
    </xf>
    <xf numFmtId="0" fontId="0" fillId="6" borderId="1" applyAlignment="1" applyProtection="1" pivotButton="0" quotePrefix="0" xfId="0">
      <alignment vertical="center" wrapText="1"/>
      <protection locked="0" hidden="0"/>
    </xf>
    <xf numFmtId="165" fontId="0" fillId="7" borderId="1" applyAlignment="1" pivotButton="0" quotePrefix="0" xfId="0">
      <alignment vertical="center" wrapText="1"/>
    </xf>
    <xf numFmtId="164" fontId="0" fillId="6" borderId="1" applyAlignment="1" applyProtection="1" pivotButton="0" quotePrefix="0" xfId="0">
      <alignment vertical="center" wrapText="1"/>
      <protection locked="0" hidden="0"/>
    </xf>
    <xf numFmtId="165" fontId="0" fillId="0" borderId="1" applyAlignment="1" pivotButton="0" quotePrefix="0" xfId="0">
      <alignment vertical="center" wrapText="1"/>
    </xf>
    <xf numFmtId="164" fontId="0" fillId="0" borderId="1" applyAlignment="1" pivotButton="0" quotePrefix="0" xfId="0">
      <alignment vertical="center" wrapText="1"/>
    </xf>
    <xf numFmtId="0" fontId="4" fillId="8" borderId="3" applyAlignment="1" pivotButton="0" quotePrefix="0" xfId="0">
      <alignment vertical="center" wrapText="1"/>
    </xf>
    <xf numFmtId="1" fontId="0" fillId="6" borderId="1" applyAlignment="1" applyProtection="1" pivotButton="0" quotePrefix="0" xfId="0">
      <alignment vertical="center" wrapText="1"/>
      <protection locked="0" hidden="0"/>
    </xf>
    <xf numFmtId="0" fontId="2" fillId="8" borderId="3" applyAlignment="1" pivotButton="0" quotePrefix="0" xfId="0">
      <alignment vertical="center" wrapText="1"/>
    </xf>
    <xf numFmtId="164" fontId="0" fillId="6" borderId="0" applyAlignment="1" applyProtection="1" pivotButton="0" quotePrefix="0" xfId="0">
      <alignment vertical="center" wrapText="1"/>
      <protection locked="0" hidden="0"/>
    </xf>
    <xf numFmtId="1" fontId="0" fillId="7" borderId="1" applyAlignment="1" pivotButton="0" quotePrefix="0" xfId="0">
      <alignment vertical="center" wrapText="1"/>
    </xf>
    <xf numFmtId="49" fontId="0" fillId="7" borderId="1" applyAlignment="1" pivotButton="0" quotePrefix="0" xfId="0">
      <alignment vertical="center" wrapText="1"/>
    </xf>
    <xf numFmtId="164" fontId="0" fillId="7" borderId="1" applyAlignment="1" pivotButton="0" quotePrefix="0" xfId="0">
      <alignment vertical="center" wrapText="1"/>
    </xf>
    <xf numFmtId="0" fontId="2" fillId="4" borderId="3" applyAlignment="1" pivotButton="0" quotePrefix="0" xfId="0">
      <alignment vertical="center" wrapText="1"/>
    </xf>
    <xf numFmtId="0" fontId="2" fillId="0" borderId="3" applyAlignment="1" pivotButton="0" quotePrefix="0" xfId="0">
      <alignment vertical="center" wrapText="1"/>
    </xf>
    <xf numFmtId="164" fontId="2" fillId="5" borderId="3" applyAlignment="1" pivotButton="0" quotePrefix="0" xfId="0">
      <alignment vertical="center" wrapText="1"/>
    </xf>
    <xf numFmtId="0" fontId="7" fillId="7" borderId="1" applyAlignment="1" pivotButton="0" quotePrefix="0" xfId="0">
      <alignment horizontal="center" vertical="center" wrapText="1"/>
    </xf>
    <xf numFmtId="0" fontId="0" fillId="7" borderId="1" applyAlignment="1" pivotButton="0" quotePrefix="0" xfId="0">
      <alignment vertical="center" wrapText="1"/>
    </xf>
    <xf numFmtId="0" fontId="4" fillId="4" borderId="1" applyAlignment="1" pivotButton="0" quotePrefix="0" xfId="0">
      <alignment horizontal="center" vertical="center" wrapText="1"/>
    </xf>
    <xf numFmtId="0" fontId="0" fillId="4" borderId="1" applyAlignment="1" pivotButton="0" quotePrefix="0" xfId="0">
      <alignment vertical="center" wrapText="1"/>
    </xf>
    <xf numFmtId="0" fontId="4" fillId="3" borderId="1" applyAlignment="1" pivotButton="0" quotePrefix="0" xfId="0">
      <alignment horizontal="center" vertical="center" wrapText="1"/>
    </xf>
    <xf numFmtId="0" fontId="0" fillId="3" borderId="1" applyAlignment="1" pivotButton="0" quotePrefix="0" xfId="0">
      <alignment vertical="center" wrapText="1"/>
    </xf>
    <xf numFmtId="0" fontId="8" fillId="2" borderId="1" applyAlignment="1" pivotButton="0" quotePrefix="0" xfId="0">
      <alignment horizontal="center" vertical="center" wrapText="1"/>
    </xf>
    <xf numFmtId="0" fontId="0" fillId="2" borderId="1" applyAlignment="1" pivotButton="0" quotePrefix="0" xfId="0">
      <alignment vertical="center" wrapText="1"/>
    </xf>
    <xf numFmtId="0" fontId="2" fillId="4" borderId="1" applyAlignment="1" pivotButton="0" quotePrefix="0" xfId="0">
      <alignment horizontal="center" vertical="center" wrapText="1"/>
    </xf>
    <xf numFmtId="1" fontId="9" fillId="6" borderId="1" applyAlignment="1" pivotButton="0" quotePrefix="0" xfId="0">
      <alignment horizontal="center" vertical="center" wrapText="1"/>
    </xf>
    <xf numFmtId="0" fontId="0" fillId="6" borderId="1" applyAlignment="1" pivotButton="0" quotePrefix="0" xfId="0">
      <alignment vertical="center" wrapText="1"/>
    </xf>
    <xf numFmtId="0" fontId="10" fillId="3" borderId="1" applyAlignment="1" pivotButton="0" quotePrefix="0" xfId="0">
      <alignment horizontal="center" vertical="center" wrapText="1"/>
    </xf>
    <xf numFmtId="0" fontId="11" fillId="2" borderId="1" applyAlignment="1" pivotButton="0" quotePrefix="0" xfId="0">
      <alignment horizontal="center" vertical="center" wrapText="1"/>
    </xf>
    <xf numFmtId="0" fontId="12" fillId="6" borderId="1" applyAlignment="1" pivotButton="0" quotePrefix="0" xfId="0">
      <alignment horizontal="center" vertical="center" wrapText="1"/>
    </xf>
    <xf numFmtId="0" fontId="9" fillId="4" borderId="1" applyAlignment="1" pivotButton="0" quotePrefix="0" xfId="0">
      <alignment horizontal="center" vertical="center" wrapText="1"/>
    </xf>
    <xf numFmtId="164" fontId="12" fillId="6" borderId="1" applyAlignment="1" pivotButton="0" quotePrefix="0" xfId="0">
      <alignment horizontal="right" vertical="center" wrapText="1"/>
    </xf>
    <xf numFmtId="49" fontId="12" fillId="6" borderId="1" applyAlignment="1" pivotButton="0" quotePrefix="0" xfId="0">
      <alignment horizontal="left" vertical="center" wrapText="1"/>
    </xf>
    <xf numFmtId="0" fontId="13" fillId="4" borderId="1" applyAlignment="1" pivotButton="0" quotePrefix="0" xfId="0">
      <alignment horizontal="center" vertical="center" wrapText="1"/>
    </xf>
    <xf numFmtId="0" fontId="3" fillId="8" borderId="1" applyAlignment="1" pivotButton="0" quotePrefix="0" xfId="0">
      <alignment horizontal="center" vertical="center" wrapText="1"/>
    </xf>
    <xf numFmtId="0" fontId="0" fillId="8" borderId="1" applyAlignment="1" pivotButton="0" quotePrefix="0" xfId="0">
      <alignment vertical="center" wrapText="1"/>
    </xf>
    <xf numFmtId="0" fontId="12" fillId="9" borderId="1" applyAlignment="1" pivotButton="0" quotePrefix="0" xfId="0">
      <alignment horizontal="center" vertical="center" wrapText="1"/>
    </xf>
    <xf numFmtId="0" fontId="0" fillId="9" borderId="1" applyAlignment="1" pivotButton="0" quotePrefix="0" xfId="0">
      <alignment vertical="center" wrapText="1"/>
    </xf>
    <xf numFmtId="0" fontId="7" fillId="7" borderId="1" applyAlignment="1" pivotButton="0" quotePrefix="0" xfId="0">
      <alignment vertical="center" wrapText="1"/>
    </xf>
    <xf numFmtId="0" fontId="0" fillId="0" borderId="4" applyAlignment="1" pivotButton="0" quotePrefix="0" xfId="0">
      <alignment vertical="center" wrapText="1"/>
    </xf>
    <xf numFmtId="0" fontId="0" fillId="0" borderId="6" applyAlignment="1" pivotButton="0" quotePrefix="0" xfId="0">
      <alignment vertical="center" wrapText="1"/>
    </xf>
    <xf numFmtId="0" fontId="14" fillId="2" borderId="1" applyAlignment="1" pivotButton="0" quotePrefix="0" xfId="0">
      <alignment vertical="center" wrapText="1"/>
    </xf>
    <xf numFmtId="0" fontId="0" fillId="0" borderId="5" applyAlignment="1" pivotButton="0" quotePrefix="0" xfId="0">
      <alignment vertical="center" wrapText="1"/>
    </xf>
    <xf numFmtId="0" fontId="0" fillId="0" borderId="7" applyAlignment="1" pivotButton="0" quotePrefix="0" xfId="0">
      <alignment vertical="center" wrapText="1"/>
    </xf>
    <xf numFmtId="0" fontId="0" fillId="0" borderId="8" applyAlignment="1" pivotButton="0" quotePrefix="0" xfId="0">
      <alignment vertical="center" wrapText="1"/>
    </xf>
    <xf numFmtId="0" fontId="0" fillId="0" borderId="9" applyAlignment="1" pivotButton="0" quotePrefix="0" xfId="0">
      <alignment vertical="center" wrapText="1"/>
    </xf>
    <xf numFmtId="0" fontId="0" fillId="0" borderId="10" applyAlignment="1" pivotButton="0" quotePrefix="0" xfId="0">
      <alignment vertical="center" wrapText="1"/>
    </xf>
    <xf numFmtId="0" fontId="0" fillId="0" borderId="11" applyAlignment="1" pivotButton="0" quotePrefix="0" xfId="0">
      <alignment vertical="center" wrapText="1"/>
    </xf>
    <xf numFmtId="1" fontId="9" fillId="7" borderId="1" applyAlignment="1" pivotButton="0" quotePrefix="0" xfId="0">
      <alignment vertical="center" wrapText="1"/>
    </xf>
    <xf numFmtId="0" fontId="0" fillId="0" borderId="12" applyAlignment="1" pivotButton="0" quotePrefix="0" xfId="0">
      <alignment vertical="center" wrapText="1"/>
    </xf>
    <xf numFmtId="0" fontId="4" fillId="7" borderId="1" applyAlignment="1" pivotButton="0" quotePrefix="0" xfId="0">
      <alignment vertical="center" wrapText="1"/>
    </xf>
    <xf numFmtId="0" fontId="10" fillId="3" borderId="1" applyAlignment="1" pivotButton="0" quotePrefix="0" xfId="0">
      <alignment vertical="center" wrapText="1"/>
    </xf>
    <xf numFmtId="49" fontId="9" fillId="7" borderId="1" applyAlignment="1" pivotButton="0" quotePrefix="0" xfId="0">
      <alignment vertical="center" wrapText="1"/>
    </xf>
    <xf numFmtId="0" fontId="15" fillId="4" borderId="1" applyAlignment="1" pivotButton="0" quotePrefix="0" xfId="0">
      <alignment vertical="center" wrapText="1"/>
    </xf>
    <xf numFmtId="164" fontId="9" fillId="7" borderId="1" applyAlignment="1" pivotButton="0" quotePrefix="0" xfId="0">
      <alignment vertical="center" wrapText="1"/>
    </xf>
    <xf numFmtId="0" fontId="15" fillId="9" borderId="1" applyAlignment="1" pivotButton="0" quotePrefix="0" xfId="0">
      <alignment vertical="center" wrapText="1"/>
    </xf>
    <xf numFmtId="0" fontId="10" fillId="4" borderId="1" applyAlignment="1" pivotButton="0" quotePrefix="0" xfId="0">
      <alignment horizontal="center" vertical="center" textRotation="90" wrapText="1"/>
    </xf>
    <xf numFmtId="0" fontId="9" fillId="3" borderId="1" applyAlignment="1" pivotButton="0" quotePrefix="0" xfId="0">
      <alignment vertical="center" wrapText="1"/>
    </xf>
    <xf numFmtId="0" fontId="12" fillId="3" borderId="1" applyAlignment="1" pivotButton="0" quotePrefix="0" xfId="0">
      <alignment vertical="center" wrapText="1"/>
    </xf>
    <xf numFmtId="0" fontId="0" fillId="0" borderId="13" applyAlignment="1" pivotButton="0" quotePrefix="0" xfId="0">
      <alignment vertical="center" wrapText="1"/>
    </xf>
    <xf numFmtId="0" fontId="9" fillId="7" borderId="1" applyAlignment="1" pivotButton="0" quotePrefix="0" xfId="0">
      <alignment vertical="center" wrapText="1"/>
    </xf>
    <xf numFmtId="0" fontId="12" fillId="7" borderId="1" applyAlignment="1" pivotButton="0" quotePrefix="0" xfId="0">
      <alignment vertical="center" wrapText="1"/>
    </xf>
    <xf numFmtId="0" fontId="0" fillId="0" borderId="14" applyAlignment="1" pivotButton="0" quotePrefix="0" xfId="0">
      <alignment vertical="center" wrapText="1"/>
    </xf>
    <xf numFmtId="0" fontId="12" fillId="4" borderId="1" applyAlignment="1" pivotButton="0" quotePrefix="0" xfId="0">
      <alignment vertical="center" wrapText="1"/>
    </xf>
    <xf numFmtId="164" fontId="12" fillId="4" borderId="1" applyAlignment="1" pivotButton="0" quotePrefix="0" xfId="0">
      <alignment vertical="center" wrapText="1"/>
    </xf>
    <xf numFmtId="0" fontId="13" fillId="7" borderId="1" applyAlignment="1" pivotButton="0" quotePrefix="0" xfId="0">
      <alignment vertical="center" wrapText="1"/>
    </xf>
    <xf numFmtId="0" fontId="13" fillId="3" borderId="1" applyAlignment="1" pivotButton="0" quotePrefix="0" xfId="0">
      <alignment vertical="center" wrapText="1"/>
    </xf>
    <xf numFmtId="0" fontId="9" fillId="3" borderId="1" applyAlignment="1" pivotButton="0" quotePrefix="0" xfId="0">
      <alignment horizontal="center" vertical="center" wrapText="1"/>
    </xf>
    <xf numFmtId="164" fontId="16" fillId="7" borderId="1" applyAlignment="1" pivotButton="0" quotePrefix="0" xfId="0">
      <alignment vertical="center" wrapText="1"/>
    </xf>
    <xf numFmtId="0" fontId="15" fillId="9" borderId="1" applyAlignment="1" pivotButton="0" quotePrefix="0" xfId="0">
      <alignment horizontal="center" vertical="center" wrapText="1"/>
    </xf>
    <xf numFmtId="0" fontId="0" fillId="0" borderId="1" applyAlignment="1" pivotButton="0" quotePrefix="0" xfId="0">
      <alignment wrapText="1"/>
    </xf>
    <xf numFmtId="165" fontId="0" fillId="0" borderId="1" applyAlignment="1" pivotButton="0" quotePrefix="0" xfId="0">
      <alignment wrapText="1"/>
    </xf>
    <xf numFmtId="164" fontId="5" fillId="5" borderId="1" applyAlignment="1" pivotButton="0" quotePrefix="0" xfId="0">
      <alignment horizontal="center" vertical="center" wrapText="1"/>
    </xf>
    <xf numFmtId="165" fontId="5" fillId="5" borderId="1" applyAlignment="1" pivotButton="0" quotePrefix="0" xfId="0">
      <alignment horizontal="center" vertical="center" wrapText="1"/>
    </xf>
    <xf numFmtId="0" fontId="4" fillId="0" borderId="0" applyAlignment="1" pivotButton="0" quotePrefix="0" xfId="0">
      <alignment vertical="center" wrapText="1"/>
    </xf>
    <xf numFmtId="1" fontId="0" fillId="0" borderId="1" applyAlignment="1" pivotButton="0" quotePrefix="0" xfId="0">
      <alignment vertical="center" wrapText="1"/>
    </xf>
    <xf numFmtId="49" fontId="0" fillId="0" borderId="1" applyAlignment="1" pivotButton="0" quotePrefix="0" xfId="0">
      <alignment vertical="center" wrapText="1"/>
    </xf>
    <xf numFmtId="0" fontId="2" fillId="4" borderId="1" applyAlignment="1" pivotButton="0" quotePrefix="0" xfId="0">
      <alignment vertical="top" wrapText="1"/>
    </xf>
    <xf numFmtId="0" fontId="0" fillId="0" borderId="1" applyAlignment="1" pivotButton="0" quotePrefix="0" xfId="0">
      <alignment vertical="top" wrapText="1"/>
    </xf>
    <xf numFmtId="0" fontId="2" fillId="9" borderId="0" applyAlignment="1" pivotButton="0" quotePrefix="0" xfId="0">
      <alignment vertical="center" wrapText="1"/>
    </xf>
    <xf numFmtId="0" fontId="17" fillId="10" borderId="25" applyAlignment="1" pivotButton="0" quotePrefix="0" xfId="0">
      <alignment horizontal="left" vertical="center"/>
    </xf>
    <xf numFmtId="0" fontId="18" fillId="11" borderId="0" pivotButton="0" quotePrefix="0" xfId="0"/>
    <xf numFmtId="0" fontId="19" fillId="3" borderId="25" applyAlignment="1" pivotButton="0" quotePrefix="0" xfId="0">
      <alignment horizontal="left"/>
    </xf>
    <xf numFmtId="164" fontId="20" fillId="7" borderId="25" applyAlignment="1" pivotButton="0" quotePrefix="0" xfId="0">
      <alignment horizontal="center"/>
    </xf>
    <xf numFmtId="166" fontId="20" fillId="7" borderId="25" applyAlignment="1" pivotButton="0" quotePrefix="0" xfId="0">
      <alignment horizontal="center"/>
    </xf>
    <xf numFmtId="0" fontId="19" fillId="12" borderId="25" applyAlignment="1" pivotButton="0" quotePrefix="0" xfId="0">
      <alignment horizontal="left" vertical="center"/>
    </xf>
    <xf numFmtId="0" fontId="20" fillId="7" borderId="25" applyAlignment="1" pivotButton="0" quotePrefix="0" xfId="0">
      <alignment horizontal="center"/>
    </xf>
    <xf numFmtId="0" fontId="21" fillId="0" borderId="0" pivotButton="0" quotePrefix="0" xfId="0"/>
    <xf numFmtId="0" fontId="0" fillId="0" borderId="25" pivotButton="0" quotePrefix="0" xfId="0"/>
    <xf numFmtId="164" fontId="0" fillId="0" borderId="25" pivotButton="0" quotePrefix="0" xfId="0"/>
    <xf numFmtId="167" fontId="0" fillId="0" borderId="25" pivotButton="0" quotePrefix="0" xfId="0"/>
    <xf numFmtId="0" fontId="19" fillId="13" borderId="25" pivotButton="0" quotePrefix="0" xfId="0"/>
    <xf numFmtId="167" fontId="19" fillId="13" borderId="25" pivotButton="0" quotePrefix="0" xfId="0"/>
    <xf numFmtId="0" fontId="0" fillId="0" borderId="28" pivotButton="0" quotePrefix="0" xfId="0"/>
    <xf numFmtId="0" fontId="0" fillId="0" borderId="29" pivotButton="0" quotePrefix="0" xfId="0"/>
    <xf numFmtId="0" fontId="0" fillId="0" borderId="25" applyAlignment="1" pivotButton="0" quotePrefix="0" xfId="0">
      <alignment wrapText="1"/>
    </xf>
    <xf numFmtId="0" fontId="21" fillId="0" borderId="25" pivotButton="0" quotePrefix="0" xfId="0"/>
    <xf numFmtId="0" fontId="0" fillId="0" borderId="12" pivotButton="0" quotePrefix="0" xfId="0"/>
    <xf numFmtId="0" fontId="0" fillId="0" borderId="11" pivotButton="0" quotePrefix="0" xfId="0"/>
    <xf numFmtId="0" fontId="0" fillId="0" borderId="15" pivotButton="0" quotePrefix="0" xfId="0"/>
    <xf numFmtId="0" fontId="0" fillId="0" borderId="17" pivotButton="0" quotePrefix="0" xfId="0"/>
    <xf numFmtId="0" fontId="0" fillId="0" borderId="16" pivotButton="0" quotePrefix="0" xfId="0"/>
    <xf numFmtId="0" fontId="0" fillId="0" borderId="18" pivotButton="0" quotePrefix="0" xfId="0"/>
    <xf numFmtId="0" fontId="0" fillId="0" borderId="19" pivotButton="0" quotePrefix="0" xfId="0"/>
    <xf numFmtId="0" fontId="0" fillId="0" borderId="20" pivotButton="0" quotePrefix="0" xfId="0"/>
    <xf numFmtId="0" fontId="0" fillId="0" borderId="21" pivotButton="0" quotePrefix="0" xfId="0"/>
    <xf numFmtId="0" fontId="0" fillId="0" borderId="6" pivotButton="0" quotePrefix="0" xfId="0"/>
    <xf numFmtId="0" fontId="0" fillId="0" borderId="5" pivotButton="0" quotePrefix="0" xfId="0"/>
    <xf numFmtId="0" fontId="0" fillId="0" borderId="7" pivotButton="0" quotePrefix="0" xfId="0"/>
    <xf numFmtId="0" fontId="0" fillId="0" borderId="8" pivotButton="0" quotePrefix="0" xfId="0"/>
    <xf numFmtId="0" fontId="0" fillId="0" borderId="10" pivotButton="0" quotePrefix="0" xfId="0"/>
    <xf numFmtId="0" fontId="0" fillId="0" borderId="23" pivotButton="0" quotePrefix="0" xfId="0"/>
    <xf numFmtId="0" fontId="0" fillId="0" borderId="24" pivotButton="0" quotePrefix="0" xfId="0"/>
    <xf numFmtId="0" fontId="0" fillId="0" borderId="4" pivotButton="0" quotePrefix="0" xfId="0"/>
    <xf numFmtId="0" fontId="0" fillId="0" borderId="9" pivotButton="0" quotePrefix="0" xfId="0"/>
    <xf numFmtId="0" fontId="0" fillId="0" borderId="13" pivotButton="0" quotePrefix="0" xfId="0"/>
    <xf numFmtId="0" fontId="0" fillId="0" borderId="14" pivotButton="0" quotePrefix="0" xfId="0"/>
  </cellXfs>
  <cellStyles count="1">
    <cellStyle name="Normal" xfId="0" builtinId="0" hidden="0"/>
  </cellStyles>
  <dxfs count="3">
    <dxf>
      <font>
        <b val="1"/>
        <color rgb="000F243E"/>
      </font>
      <fill>
        <patternFill patternType="solid">
          <fgColor rgb="00E2F0D9"/>
        </patternFill>
      </fill>
    </dxf>
    <dxf>
      <font>
        <b val="1"/>
        <color rgb="000F243E"/>
      </font>
      <fill>
        <patternFill patternType="solid">
          <fgColor rgb="00FCE4D6"/>
        </patternFill>
      </fill>
    </dxf>
    <dxf>
      <font>
        <b val="1"/>
        <color rgb="009C0006"/>
      </font>
      <fill>
        <patternFill patternType="solid">
          <fgColor rgb="00FDE9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styles" Target="styles.xml" Id="rId17"/><Relationship Type="http://schemas.openxmlformats.org/officeDocument/2006/relationships/theme" Target="theme/theme1.xml" Id="rId18"/></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Flujo tributario principal</a:t>
            </a:r>
          </a:p>
        </rich>
      </tx>
    </title>
    <plotArea>
      <barChart>
        <barDir val="bar"/>
        <grouping val="clustered"/>
        <ser>
          <idx val="0"/>
          <order val="0"/>
          <tx>
            <strRef>
              <f>'HZ_RESUMEN_VISUAL'!B17</f>
            </strRef>
          </tx>
          <spPr>
            <a:ln xmlns:a="http://schemas.openxmlformats.org/drawingml/2006/main">
              <a:prstDash val="solid"/>
            </a:ln>
          </spPr>
          <cat>
            <numRef>
              <f>'HZ_RESUMEN_VISUAL'!$A$18:$A$23</f>
            </numRef>
          </cat>
          <val>
            <numRef>
              <f>'HZ_RESUMEN_VISUAL'!$B$18:$B$23</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Beneficios y ajustes</a:t>
            </a:r>
          </a:p>
        </rich>
      </tx>
    </title>
    <plotArea>
      <barChart>
        <barDir val="bar"/>
        <grouping val="clustered"/>
        <ser>
          <idx val="0"/>
          <order val="0"/>
          <tx>
            <strRef>
              <f>'HZ_RESUMEN_VISUAL'!K17</f>
            </strRef>
          </tx>
          <spPr>
            <a:ln xmlns:a="http://schemas.openxmlformats.org/drawingml/2006/main">
              <a:prstDash val="solid"/>
            </a:ln>
          </spPr>
          <cat>
            <numRef>
              <f>'HZ_RESUMEN_VISUAL'!$J$18:$J$21</f>
            </numRef>
          </cat>
          <val>
            <numRef>
              <f>'HZ_RESUMEN_VISUAL'!$K$18:$K$22</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plotVisOnly val="1"/>
    <dispBlanksAs val="gap"/>
  </chart>
</chartSpace>
</file>

<file path=xl/comments/comment1.xml><?xml version="1.0" encoding="utf-8"?>
<comments xmlns="http://schemas.openxmlformats.org/spreadsheetml/2006/main">
  <authors>
    <author>HazelRo</author>
  </authors>
  <commentList>
    <comment ref="B5" authorId="0" shapeId="0">
      <text>
        <t>El modelo está armado para AG 2025. Cambia este año sólo si ajustas también la normativa.</t>
      </text>
    </comment>
    <comment ref="B6" authorId="0" shapeId="0">
      <text>
        <t>Tarifa general de personas jurídicas según artículo 240 modificado por Ley 2277 de 2022.</t>
      </text>
    </comment>
  </commentList>
</comments>
</file>

<file path=xl/comments/comment2.xml><?xml version="1.0" encoding="utf-8"?>
<comments xmlns="http://schemas.openxmlformats.org/spreadsheetml/2006/main">
  <authors>
    <author>HazelRo</author>
  </authors>
  <commentList>
    <comment ref="B5" authorId="0" shapeId="0">
      <text>
        <t>Si la empresa tiene rentas a varias tarifas, usa 'MULTI_TARIFA_MANUAL' o 'ZF_COMERCIAL_MIXTO' y diligencia el puente.</t>
      </text>
    </comment>
    <comment ref="B10" authorId="0" shapeId="0">
      <text>
        <t>Casilla 85: usa 5%, 10% u otra tasa adicional sólo si el contribuyente está sujeto a par. 2 o 3 del art. 240.</t>
      </text>
    </comment>
  </commentList>
</comments>
</file>

<file path=xl/comments/comment3.xml><?xml version="1.0" encoding="utf-8"?>
<comments xmlns="http://schemas.openxmlformats.org/spreadsheetml/2006/main">
  <authors>
    <author>HazelRo</author>
  </authors>
  <commentList>
    <comment ref="D35" authorId="0" shapeId="0">
      <text>
        <t>Casilla 49 registra dividendos no constitutivos; no se duplique en casilla 60.</t>
      </text>
    </comment>
    <comment ref="D36" authorId="0" shapeId="0">
      <text>
        <t>Casilla 50 es muy específica de CHC. Si no tienes CHC habilitada, déjala en cero.</t>
      </text>
    </comment>
    <comment ref="D38" authorId="0" shapeId="0">
      <text>
        <t>Casilla típica de persona natural no residente. Para una PJ residente, usualmente queda en cero.</t>
      </text>
    </comment>
    <comment ref="D39" authorId="0" shapeId="0">
      <text>
        <t>Casilla típica de persona natural no residente. Para una PJ residente, usualmente queda en cero.</t>
      </text>
    </comment>
    <comment ref="D40" authorId="0" shapeId="0">
      <text>
        <t>Base de impuesto de dividendos para casilla 86.</t>
      </text>
    </comment>
    <comment ref="D41" authorId="0" shapeId="0">
      <text>
        <t>Base de impuesto de dividendos para casilla 87.</t>
      </text>
    </comment>
    <comment ref="D42" authorId="0" shapeId="0">
      <text>
        <t>Beneficio legado de megainversión. Verifica soporte normativo vigente antes de usarla.</t>
      </text>
    </comment>
    <comment ref="D52" authorId="0" shapeId="0">
      <text>
        <t>La propia DIAN aclara que 68 sólo debe diligenciarse por entidades del RTE.</t>
      </text>
    </comment>
    <comment ref="D53" authorId="0" shapeId="0">
      <text>
        <t>La propia DIAN aclara que 69 sólo debe diligenciarse por entidades del RTE.</t>
      </text>
    </comment>
    <comment ref="D58" authorId="0" shapeId="0">
      <text>
        <t>No la dejes como valor libre sin soporte. AG 2025 parte de tasa 0%, con reglas especiales de activos exceptuados.</t>
      </text>
    </comment>
    <comment ref="D65" authorId="0" shapeId="0">
      <text>
        <t>Sólo la porción de la casilla 83 que corresponda a loterías, rifas y apuestas va al 20%.</t>
      </text>
    </comment>
    <comment ref="D71" authorId="0" shapeId="0">
      <text>
        <t>La DIAN exige cálculo técnico del anticipo. Si no lo tienes sustentado, revísalo antes de presentar.</t>
      </text>
    </comment>
    <comment ref="D75" authorId="0" shapeId="0">
      <text>
        <t>Este aporte se paga por recibo separado y no modifica el saldo a favor.</t>
      </text>
    </comment>
  </commentList>
</comments>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3</col>
      <colOff>0</colOff>
      <row>15</row>
      <rowOff>0</rowOff>
    </from>
    <ext cx="324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9</col>
      <colOff>0</colOff>
      <row>19</row>
      <rowOff>0</rowOff>
    </from>
    <ext cx="2520000" cy="216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INICIO!A1" TargetMode="External" Id="rId1"/><Relationship Type="http://schemas.openxmlformats.org/officeDocument/2006/relationships/hyperlink" Target="#INPUTS_110!A1" TargetMode="External" Id="rId2"/><Relationship Type="http://schemas.openxmlformats.org/officeDocument/2006/relationships/hyperlink" Target="#VALIDACIONES!A1" TargetMode="External" Id="rId3"/><Relationship Type="http://schemas.openxmlformats.org/officeDocument/2006/relationships/hyperlink" Target="#RESUMEN!A1" TargetMode="External" Id="rId4"/><Relationship Type="http://schemas.openxmlformats.org/officeDocument/2006/relationships/hyperlink" Target="#FORMULARIO_110!A1" TargetMode="External" Id="rId5"/><Relationship Type="http://schemas.openxmlformats.org/officeDocument/2006/relationships/drawing" Target="/xl/drawings/drawing1.xml" Id="rId6"/></Relationships>
</file>

<file path=xl/worksheets/_rels/sheet2.xml.rels><Relationships xmlns="http://schemas.openxmlformats.org/package/2006/relationships"><Relationship Type="http://schemas.openxmlformats.org/officeDocument/2006/relationships/hyperlink" Target="#HZ_RESUMEN_VISUAL!A1" TargetMode="External" Id="rId1"/><Relationship Type="http://schemas.openxmlformats.org/officeDocument/2006/relationships/hyperlink" Target="#INICIO!A1" TargetMode="External" Id="rId2"/><Relationship Type="http://schemas.openxmlformats.org/officeDocument/2006/relationships/hyperlink" Target="#INPUTS_110!A1" TargetMode="External" Id="rId3"/><Relationship Type="http://schemas.openxmlformats.org/officeDocument/2006/relationships/hyperlink" Target="#VALIDACIONES!A1" TargetMode="External" Id="rId4"/><Relationship Type="http://schemas.openxmlformats.org/officeDocument/2006/relationships/hyperlink" Target="#RESUMEN!A1" TargetMode="External" Id="rId5"/></Relationships>
</file>

<file path=xl/worksheets/_rels/sheet4.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5.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_rels/sheet6.xml.rels><Relationships xmlns="http://schemas.openxmlformats.org/package/2006/relationships"><Relationship Type="http://schemas.openxmlformats.org/officeDocument/2006/relationships/comments" Target="/xl/comments/comment3.xml" Id="comments"/><Relationship Type="http://schemas.openxmlformats.org/officeDocument/2006/relationships/vmlDrawing" Target="/xl/drawings/commentsDrawing3.vml" Id="anysvml"/></Relationships>
</file>

<file path=xl/worksheets/sheet1.xml><?xml version="1.0" encoding="utf-8"?>
<worksheet xmlns="http://schemas.openxmlformats.org/spreadsheetml/2006/main">
  <sheetPr>
    <outlinePr summaryBelow="1" summaryRight="1"/>
    <pageSetUpPr/>
  </sheetPr>
  <dimension ref="A1:M23"/>
  <sheetViews>
    <sheetView showGridLines="0" workbookViewId="0">
      <pane ySplit="3" topLeftCell="A4" activePane="bottomLeft" state="frozen"/>
      <selection pane="bottomLeft" activeCell="A1" sqref="A1"/>
    </sheetView>
  </sheetViews>
  <sheetFormatPr baseColWidth="8" defaultRowHeight="15"/>
  <cols>
    <col width="16" customWidth="1" min="1" max="1"/>
    <col width="22" customWidth="1" min="2" max="2"/>
    <col width="18" customWidth="1" min="3" max="3"/>
    <col width="16" customWidth="1" min="4" max="4"/>
    <col width="22" customWidth="1" min="5" max="5"/>
    <col width="18" customWidth="1" min="6" max="6"/>
    <col width="16" customWidth="1" min="7" max="7"/>
    <col width="22" customWidth="1" min="8" max="8"/>
    <col width="18" customWidth="1" min="9" max="9"/>
    <col width="16" customWidth="1" min="10" max="10"/>
    <col width="14" customWidth="1" min="11" max="11"/>
    <col width="14" customWidth="1" min="12" max="12"/>
    <col width="14" customWidth="1" min="13" max="13"/>
  </cols>
  <sheetData>
    <row r="1">
      <c r="A1" s="91" t="inlineStr">
        <is>
          <t>Resumen visual | Renta Persona Jurídica 110</t>
        </is>
      </c>
      <c r="B1" s="104" t="n"/>
      <c r="C1" s="104" t="n"/>
      <c r="D1" s="104" t="n"/>
      <c r="E1" s="104" t="n"/>
      <c r="F1" s="104" t="n"/>
      <c r="G1" s="104" t="n"/>
      <c r="H1" s="104" t="n"/>
      <c r="I1" s="104" t="n"/>
      <c r="J1" s="104" t="n"/>
      <c r="K1" s="104" t="n"/>
      <c r="L1" s="104" t="n"/>
      <c r="M1" s="105" t="n"/>
    </row>
    <row r="2">
      <c r="A2" s="92" t="inlineStr">
        <is>
          <t>Lectura rápida para borrador tributario. Revisa VALIDACIONES antes de usar el saldo final.</t>
        </is>
      </c>
    </row>
    <row r="4">
      <c r="A4" s="93" t="inlineStr">
        <is>
          <t>Patrimonio líquido</t>
        </is>
      </c>
      <c r="B4" s="94">
        <f>RESUMEN!B8</f>
        <v/>
      </c>
      <c r="D4" s="93" t="inlineStr">
        <is>
          <t>Ingresos netos</t>
        </is>
      </c>
      <c r="E4" s="94">
        <f>RESUMEN!D8</f>
        <v/>
      </c>
      <c r="G4" s="93" t="inlineStr">
        <is>
          <t>Renta líquida gravable</t>
        </is>
      </c>
      <c r="H4" s="94">
        <f>RESUMEN!F8</f>
        <v/>
      </c>
      <c r="J4" s="93" t="inlineStr">
        <is>
          <t>Total impuesto a cargo</t>
        </is>
      </c>
      <c r="K4" s="94">
        <f>RESUMEN!H8</f>
        <v/>
      </c>
    </row>
    <row r="7">
      <c r="A7" s="93" t="inlineStr">
        <is>
          <t>Compensaciones</t>
        </is>
      </c>
      <c r="B7" s="94">
        <f>RESUMEN!B13</f>
        <v/>
      </c>
      <c r="D7" s="93" t="inlineStr">
        <is>
          <t>Rentas exentas</t>
        </is>
      </c>
      <c r="E7" s="94">
        <f>RESUMEN!D13</f>
        <v/>
      </c>
      <c r="G7" s="93" t="inlineStr">
        <is>
          <t>VAA</t>
        </is>
      </c>
      <c r="H7" s="94">
        <f>RESUMEN!F13</f>
        <v/>
      </c>
      <c r="J7" s="93" t="inlineStr">
        <is>
          <t>Descuentos renta</t>
        </is>
      </c>
      <c r="K7" s="94">
        <f>RESUMEN!H13</f>
        <v/>
      </c>
    </row>
    <row r="10">
      <c r="A10" s="93" t="inlineStr">
        <is>
          <t>Saldo a pagar</t>
        </is>
      </c>
      <c r="B10" s="94">
        <f>RESUMEN!B18</f>
        <v/>
      </c>
      <c r="D10" s="93" t="inlineStr">
        <is>
          <t>Saldo a favor</t>
        </is>
      </c>
      <c r="E10" s="94">
        <f>RESUMEN!D18</f>
        <v/>
      </c>
      <c r="G10" s="93" t="inlineStr">
        <is>
          <t>Pago total</t>
        </is>
      </c>
      <c r="H10" s="94">
        <f>RESUMEN!F18</f>
        <v/>
      </c>
      <c r="J10" s="93" t="inlineStr">
        <is>
          <t>Tasa efectiva</t>
        </is>
      </c>
      <c r="K10" s="95">
        <f>RESUMEN!H18</f>
        <v/>
      </c>
    </row>
    <row r="13">
      <c r="A13" s="96" t="inlineStr">
        <is>
          <t>Navegación</t>
        </is>
      </c>
      <c r="G13" s="93" t="inlineStr">
        <is>
          <t>Alertas activas</t>
        </is>
      </c>
      <c r="H13" s="97">
        <f>COUNTIF(VALIDACIONES!D:D,"ALERTA")</f>
        <v/>
      </c>
    </row>
    <row r="14">
      <c r="A14" s="98" t="inlineStr">
        <is>
          <t>INICIO</t>
        </is>
      </c>
      <c r="B14" s="98" t="inlineStr">
        <is>
          <t>INPUTS_110</t>
        </is>
      </c>
      <c r="C14" s="98" t="inlineStr">
        <is>
          <t>VALIDACIONES</t>
        </is>
      </c>
      <c r="D14" s="98" t="inlineStr">
        <is>
          <t>RESUMEN</t>
        </is>
      </c>
      <c r="E14" s="98" t="inlineStr">
        <is>
          <t>FORMULARIO_110</t>
        </is>
      </c>
    </row>
    <row r="17">
      <c r="A17" s="96" t="inlineStr">
        <is>
          <t>Concepto</t>
        </is>
      </c>
      <c r="B17" s="96" t="inlineStr">
        <is>
          <t>Valor</t>
        </is>
      </c>
      <c r="J17" s="96" t="inlineStr">
        <is>
          <t>Beneficio</t>
        </is>
      </c>
      <c r="K17" s="96" t="inlineStr">
        <is>
          <t>Valor</t>
        </is>
      </c>
    </row>
    <row r="18">
      <c r="A18" s="99" t="inlineStr">
        <is>
          <t>Patrimonio líquido</t>
        </is>
      </c>
      <c r="B18" s="100">
        <f>B4</f>
        <v/>
      </c>
      <c r="J18" s="99" t="inlineStr">
        <is>
          <t>Compensaciones</t>
        </is>
      </c>
      <c r="K18" s="100">
        <f>B7</f>
        <v/>
      </c>
    </row>
    <row r="19">
      <c r="A19" s="99" t="inlineStr">
        <is>
          <t>Ingresos netos</t>
        </is>
      </c>
      <c r="B19" s="100">
        <f>E4</f>
        <v/>
      </c>
      <c r="J19" s="99" t="inlineStr">
        <is>
          <t>Exentas</t>
        </is>
      </c>
      <c r="K19" s="100">
        <f>E7</f>
        <v/>
      </c>
    </row>
    <row r="20">
      <c r="A20" s="99" t="inlineStr">
        <is>
          <t>Renta gravable</t>
        </is>
      </c>
      <c r="B20" s="100">
        <f>H4</f>
        <v/>
      </c>
      <c r="J20" s="99" t="inlineStr">
        <is>
          <t>VAA</t>
        </is>
      </c>
      <c r="K20" s="100">
        <f>H7</f>
        <v/>
      </c>
    </row>
    <row r="21">
      <c r="A21" s="99" t="inlineStr">
        <is>
          <t>Total impuesto</t>
        </is>
      </c>
      <c r="B21" s="100">
        <f>K4</f>
        <v/>
      </c>
      <c r="J21" s="99" t="inlineStr">
        <is>
          <t>Descuentos</t>
        </is>
      </c>
      <c r="K21" s="100">
        <f>K7</f>
        <v/>
      </c>
    </row>
    <row r="22">
      <c r="A22" s="99" t="inlineStr">
        <is>
          <t>Saldo a pagar</t>
        </is>
      </c>
      <c r="B22" s="100">
        <f>B10</f>
        <v/>
      </c>
    </row>
    <row r="23">
      <c r="A23" s="99" t="inlineStr">
        <is>
          <t>Pago total</t>
        </is>
      </c>
      <c r="B23" s="100">
        <f>H10</f>
        <v/>
      </c>
    </row>
  </sheetData>
  <mergeCells count="2">
    <mergeCell ref="A2:M2"/>
    <mergeCell ref="A1:M1"/>
  </mergeCells>
  <hyperlinks>
    <hyperlink xmlns:r="http://schemas.openxmlformats.org/officeDocument/2006/relationships" ref="A14" r:id="rId1"/>
    <hyperlink xmlns:r="http://schemas.openxmlformats.org/officeDocument/2006/relationships" ref="B14" r:id="rId2"/>
    <hyperlink xmlns:r="http://schemas.openxmlformats.org/officeDocument/2006/relationships" ref="C14" r:id="rId3"/>
    <hyperlink xmlns:r="http://schemas.openxmlformats.org/officeDocument/2006/relationships" ref="D14" r:id="rId4"/>
    <hyperlink xmlns:r="http://schemas.openxmlformats.org/officeDocument/2006/relationships" ref="E14" r:id="rId5"/>
  </hyperlinks>
  <pageMargins left="0.75" right="0.75" top="1" bottom="1" header="0.5" footer="0.5"/>
  <drawing xmlns:r="http://schemas.openxmlformats.org/officeDocument/2006/relationships" r:id="rId6"/>
</worksheet>
</file>

<file path=xl/worksheets/sheet10.xml><?xml version="1.0" encoding="utf-8"?>
<worksheet xmlns="http://schemas.openxmlformats.org/spreadsheetml/2006/main">
  <sheetPr>
    <tabColor rgb="00548235"/>
    <outlinePr summaryBelow="1" summaryRight="1"/>
    <pageSetUpPr/>
  </sheetPr>
  <dimension ref="A1:P38"/>
  <sheetViews>
    <sheetView showGridLines="0" workbookViewId="0">
      <pane xSplit="1" ySplit="9" topLeftCell="B10" activePane="bottomRight" state="frozen"/>
      <selection pane="topRight" activeCell="A1" sqref="A1"/>
      <selection pane="bottomLeft" activeCell="A1" sqref="A1"/>
      <selection pane="bottomRight" activeCell="A1" sqref="A1"/>
    </sheetView>
  </sheetViews>
  <sheetFormatPr baseColWidth="8" defaultRowHeight="15"/>
  <cols>
    <col width="1.5" customWidth="1" min="1" max="1"/>
    <col width="6" customWidth="1" min="2" max="2"/>
    <col width="21" customWidth="1" min="3" max="3"/>
    <col width="13" customWidth="1" min="4" max="4"/>
    <col width="1.5" customWidth="1" min="5" max="5"/>
    <col width="6" customWidth="1" min="6" max="6"/>
    <col width="21" customWidth="1" min="7" max="7"/>
    <col width="13" customWidth="1" min="8" max="8"/>
    <col width="1.5" customWidth="1" min="9" max="9"/>
    <col width="6" customWidth="1" min="10" max="10"/>
    <col width="21" customWidth="1" min="11" max="11"/>
    <col width="13" customWidth="1" min="12" max="12"/>
    <col width="1.5" customWidth="1" min="13" max="13"/>
    <col width="6" customWidth="1" min="14" max="14"/>
    <col width="21" customWidth="1" min="15" max="15"/>
    <col width="13" customWidth="1" min="16" max="16"/>
  </cols>
  <sheetData>
    <row r="1" ht="24" customHeight="1">
      <c r="A1" s="2" t="n"/>
      <c r="B1" s="27" t="inlineStr">
        <is>
          <t>DIAN</t>
        </is>
      </c>
      <c r="C1" s="117" t="n"/>
      <c r="D1" s="29" t="inlineStr">
        <is>
          <t>Declaracion de renta y complementario
Resumen de salida del modelo HazelRo</t>
        </is>
      </c>
      <c r="E1" s="124" t="n"/>
      <c r="F1" s="124" t="n"/>
      <c r="G1" s="124" t="n"/>
      <c r="H1" s="124" t="n"/>
      <c r="I1" s="124" t="n"/>
      <c r="J1" s="124" t="n"/>
      <c r="K1" s="117" t="n"/>
      <c r="L1" s="31" t="inlineStr">
        <is>
          <t>OUTPUT</t>
        </is>
      </c>
      <c r="M1" s="117" t="n"/>
      <c r="N1" s="33" t="inlineStr">
        <is>
          <t>110</t>
        </is>
      </c>
      <c r="O1" s="124" t="n"/>
      <c r="P1" s="117" t="n"/>
    </row>
    <row r="2" ht="30" customHeight="1">
      <c r="A2" s="2" t="n"/>
      <c r="B2" s="120" t="n"/>
      <c r="C2" s="121" t="n"/>
      <c r="D2" s="120" t="n"/>
      <c r="E2" s="125" t="n"/>
      <c r="F2" s="125" t="n"/>
      <c r="G2" s="125" t="n"/>
      <c r="H2" s="125" t="n"/>
      <c r="I2" s="125" t="n"/>
      <c r="J2" s="125" t="n"/>
      <c r="K2" s="121" t="n"/>
      <c r="L2" s="120" t="n"/>
      <c r="M2" s="121" t="n"/>
      <c r="N2" s="120" t="n"/>
      <c r="O2" s="125" t="n"/>
      <c r="P2" s="121" t="n"/>
    </row>
    <row r="3" ht="18" customHeight="1">
      <c r="A3" s="2" t="n"/>
      <c r="B3" s="2" t="n"/>
      <c r="C3" s="2" t="n"/>
      <c r="D3" s="2" t="n"/>
      <c r="E3" s="2" t="n"/>
      <c r="F3" s="2" t="n"/>
      <c r="G3" s="2" t="n"/>
      <c r="H3" s="2" t="n"/>
      <c r="I3" s="2" t="n"/>
      <c r="J3" s="2" t="n"/>
      <c r="K3" s="2" t="n"/>
      <c r="L3" s="2" t="n"/>
      <c r="M3" s="2" t="n"/>
      <c r="N3" s="2" t="n"/>
      <c r="O3" s="2" t="n"/>
      <c r="P3" s="2" t="n"/>
    </row>
    <row r="4" ht="18" customHeight="1">
      <c r="A4" s="2" t="n"/>
      <c r="B4" s="35" t="inlineStr">
        <is>
          <t>1. Ano</t>
        </is>
      </c>
      <c r="C4" s="2" t="n"/>
      <c r="D4" s="36">
        <f>PARAMS!$B$5</f>
        <v/>
      </c>
      <c r="E4" s="2" t="n"/>
      <c r="F4" s="2" t="n"/>
      <c r="G4" s="2" t="n"/>
      <c r="H4" s="2" t="n"/>
      <c r="I4" s="2" t="n"/>
      <c r="J4" s="35" t="inlineStr">
        <is>
          <t>4. Numero de formulario</t>
        </is>
      </c>
      <c r="K4" s="2" t="n"/>
      <c r="L4" s="36">
        <f>IF(IFERROR(INDEX(LIQUIDACION_110!$D:$D,MATCH(4,LIQUIDACION_110!$A:$A,0)),0)=0,"",IFERROR(INDEX(LIQUIDACION_110!$D:$D,MATCH(4,LIQUIDACION_110!$A:$A,0)),0))</f>
        <v/>
      </c>
      <c r="M4" s="108" t="n"/>
      <c r="N4" s="108" t="n"/>
      <c r="O4" s="108" t="n"/>
      <c r="P4" s="109" t="n"/>
    </row>
    <row r="5" ht="18" customHeight="1">
      <c r="A5" s="2" t="n"/>
      <c r="B5" s="38" t="inlineStr">
        <is>
          <t>Hoja de salida compacta basada en la idea de tu modelo original.
Aqui queda el borrador final resumido para leerlo rapido, mientras que la hoja `FORMULARIO_110_DIAN` conserva la vista tipo formulario oficial.</t>
        </is>
      </c>
      <c r="C5" s="124" t="n"/>
      <c r="D5" s="124" t="n"/>
      <c r="E5" s="124" t="n"/>
      <c r="F5" s="124" t="n"/>
      <c r="G5" s="124" t="n"/>
      <c r="H5" s="124" t="n"/>
      <c r="I5" s="124" t="n"/>
      <c r="J5" s="124" t="n"/>
      <c r="K5" s="124" t="n"/>
      <c r="L5" s="124" t="n"/>
      <c r="M5" s="124" t="n"/>
      <c r="N5" s="124" t="n"/>
      <c r="O5" s="124" t="n"/>
      <c r="P5" s="117" t="n"/>
    </row>
    <row r="6" ht="18" customHeight="1">
      <c r="A6" s="2" t="n"/>
      <c r="B6" s="118" t="n"/>
      <c r="P6" s="119" t="n"/>
    </row>
    <row r="7" ht="18" customHeight="1">
      <c r="A7" s="2" t="n"/>
      <c r="B7" s="118" t="n"/>
      <c r="P7" s="119" t="n"/>
    </row>
    <row r="8" ht="18" customHeight="1">
      <c r="A8" s="2" t="n"/>
      <c r="B8" s="120" t="n"/>
      <c r="C8" s="125" t="n"/>
      <c r="D8" s="125" t="n"/>
      <c r="E8" s="125" t="n"/>
      <c r="F8" s="125" t="n"/>
      <c r="G8" s="125" t="n"/>
      <c r="H8" s="125" t="n"/>
      <c r="I8" s="125" t="n"/>
      <c r="J8" s="125" t="n"/>
      <c r="K8" s="125" t="n"/>
      <c r="L8" s="125" t="n"/>
      <c r="M8" s="125" t="n"/>
      <c r="N8" s="125" t="n"/>
      <c r="O8" s="125" t="n"/>
      <c r="P8" s="121" t="n"/>
    </row>
    <row r="9" ht="18" customHeight="1">
      <c r="A9" s="2" t="n"/>
      <c r="B9" s="39" t="inlineStr">
        <is>
          <t>Identificacion del declarante</t>
        </is>
      </c>
      <c r="C9" s="108" t="n"/>
      <c r="D9" s="108" t="n"/>
      <c r="E9" s="108" t="n"/>
      <c r="F9" s="108" t="n"/>
      <c r="G9" s="108" t="n"/>
      <c r="H9" s="108" t="n"/>
      <c r="I9" s="108" t="n"/>
      <c r="J9" s="108" t="n"/>
      <c r="K9" s="108" t="n"/>
      <c r="L9" s="108" t="n"/>
      <c r="M9" s="108" t="n"/>
      <c r="N9" s="108" t="n"/>
      <c r="O9" s="108" t="n"/>
      <c r="P9" s="109" t="n"/>
    </row>
    <row r="10" ht="18" customHeight="1">
      <c r="A10" s="2" t="n"/>
      <c r="B10" s="40" t="n">
        <v>5</v>
      </c>
      <c r="C10" s="41" t="inlineStr">
        <is>
          <t>NIT</t>
        </is>
      </c>
      <c r="D10" s="42">
        <f>IF(IFERROR(INDEX(LIQUIDACION_110!$D:$D,MATCH(5,LIQUIDACION_110!$A:$A,0)),0)=0,"",IFERROR(INDEX(LIQUIDACION_110!$D:$D,MATCH(5,LIQUIDACION_110!$A:$A,0)),0))</f>
        <v/>
      </c>
      <c r="E10" s="2" t="n"/>
      <c r="F10" s="40" t="n">
        <v>6</v>
      </c>
      <c r="G10" s="41" t="inlineStr">
        <is>
          <t>DV</t>
        </is>
      </c>
      <c r="H10" s="42">
        <f>IF(IFERROR(INDEX(LIQUIDACION_110!$D:$D,MATCH(6,LIQUIDACION_110!$A:$A,0)),0)=0,"",IFERROR(INDEX(LIQUIDACION_110!$D:$D,MATCH(6,LIQUIDACION_110!$A:$A,0)),0))</f>
        <v/>
      </c>
      <c r="I10" s="2" t="n"/>
      <c r="J10" s="40" t="n">
        <v>11</v>
      </c>
      <c r="K10" s="41" t="inlineStr">
        <is>
          <t>Razon social</t>
        </is>
      </c>
      <c r="L10" s="43">
        <f>IFERROR(INDEX(LIQUIDACION_110!$D:$D,MATCH(11,LIQUIDACION_110!$A:$A,0)),"")</f>
        <v/>
      </c>
      <c r="M10" s="2" t="n"/>
      <c r="N10" s="40" t="n">
        <v>12</v>
      </c>
      <c r="O10" s="41" t="inlineStr">
        <is>
          <t>Codigo direccion seccional</t>
        </is>
      </c>
      <c r="P10" s="42">
        <f>IF(IFERROR(INDEX(LIQUIDACION_110!$D:$D,MATCH(12,LIQUIDACION_110!$A:$A,0)),0)=0,"",IFERROR(INDEX(LIQUIDACION_110!$D:$D,MATCH(12,LIQUIDACION_110!$A:$A,0)),0))</f>
        <v/>
      </c>
    </row>
    <row r="11" ht="18" customHeight="1">
      <c r="A11" s="2" t="n"/>
      <c r="B11" s="40" t="n">
        <v>24</v>
      </c>
      <c r="C11" s="41" t="inlineStr">
        <is>
          <t>Actividad economica principal</t>
        </is>
      </c>
      <c r="D11" s="42">
        <f>IF(IFERROR(INDEX(LIQUIDACION_110!$D:$D,MATCH(24,LIQUIDACION_110!$A:$A,0)),0)=0,"",IFERROR(INDEX(LIQUIDACION_110!$D:$D,MATCH(24,LIQUIDACION_110!$A:$A,0)),0))</f>
        <v/>
      </c>
      <c r="E11" s="2" t="n"/>
      <c r="F11" s="40" t="n">
        <v>25</v>
      </c>
      <c r="G11" s="41" t="inlineStr">
        <is>
          <t>Codigo correccion</t>
        </is>
      </c>
      <c r="H11" s="42">
        <f>IF(IFERROR(INDEX(LIQUIDACION_110!$D:$D,MATCH(25,LIQUIDACION_110!$A:$A,0)),0)=0,"",IFERROR(INDEX(LIQUIDACION_110!$D:$D,MATCH(25,LIQUIDACION_110!$A:$A,0)),0))</f>
        <v/>
      </c>
      <c r="I11" s="2" t="n"/>
      <c r="J11" s="40" t="n">
        <v>26</v>
      </c>
      <c r="K11" s="41" t="inlineStr">
        <is>
          <t>Numero formulario anterior</t>
        </is>
      </c>
      <c r="L11" s="42">
        <f>IF(IFERROR(INDEX(LIQUIDACION_110!$D:$D,MATCH(26,LIQUIDACION_110!$A:$A,0)),0)=0,"",IFERROR(INDEX(LIQUIDACION_110!$D:$D,MATCH(26,LIQUIDACION_110!$A:$A,0)),0))</f>
        <v/>
      </c>
      <c r="M11" s="2" t="n"/>
      <c r="N11" s="40" t="n">
        <v>29</v>
      </c>
      <c r="O11" s="44" t="inlineStr">
        <is>
          <t>Fraccion ano gravable siguiente</t>
        </is>
      </c>
      <c r="P11" s="40">
        <f>IF(IFERROR(INDEX(LIQUIDACION_110!$D:$D,MATCH(29,LIQUIDACION_110!$A:$A,0)),0)&gt;0,"X","")</f>
        <v/>
      </c>
    </row>
    <row r="12" ht="18" customHeight="1">
      <c r="A12" s="2" t="n"/>
      <c r="B12" s="40" t="n">
        <v>30</v>
      </c>
      <c r="C12" s="41" t="inlineStr">
        <is>
          <t>Renuncio al RTE</t>
        </is>
      </c>
      <c r="D12" s="40">
        <f>IF(IFERROR(INDEX(LIQUIDACION_110!$D:$D,MATCH(30,LIQUIDACION_110!$A:$A,0)),0)&gt;0,"X","")</f>
        <v/>
      </c>
      <c r="E12" s="2" t="n"/>
      <c r="F12" s="40" t="n">
        <v>31</v>
      </c>
      <c r="G12" s="41" t="inlineStr">
        <is>
          <t>Obras por impuestos</t>
        </is>
      </c>
      <c r="H12" s="40">
        <f>IF(IFERROR(INDEX(LIQUIDACION_110!$D:$D,MATCH(31,LIQUIDACION_110!$A:$A,0)),0)&gt;0,"X","")</f>
        <v/>
      </c>
      <c r="I12" s="2" t="n"/>
      <c r="J12" s="40" t="n">
        <v>33</v>
      </c>
      <c r="K12" s="44" t="inlineStr">
        <is>
          <t>Total costos y gastos de nomina</t>
        </is>
      </c>
      <c r="L12" s="42">
        <f>IFERROR(INDEX(LIQUIDACION_110!$D:$D,MATCH(33,LIQUIDACION_110!$A:$A,0)),0)</f>
        <v/>
      </c>
      <c r="M12" s="2" t="n"/>
      <c r="N12" s="40" t="n">
        <v>34</v>
      </c>
      <c r="O12" s="41" t="inlineStr">
        <is>
          <t>Aportes seguridad social</t>
        </is>
      </c>
      <c r="P12" s="42">
        <f>IFERROR(INDEX(LIQUIDACION_110!$D:$D,MATCH(34,LIQUIDACION_110!$A:$A,0)),0)</f>
        <v/>
      </c>
    </row>
    <row r="13" ht="18" customHeight="1">
      <c r="A13" s="2" t="n"/>
      <c r="B13" s="39" t="inlineStr">
        <is>
          <t>Seccion patrimonio y control general</t>
        </is>
      </c>
      <c r="C13" s="108" t="n"/>
      <c r="D13" s="108" t="n"/>
      <c r="E13" s="108" t="n"/>
      <c r="F13" s="108" t="n"/>
      <c r="G13" s="108" t="n"/>
      <c r="H13" s="108" t="n"/>
      <c r="I13" s="108" t="n"/>
      <c r="J13" s="108" t="n"/>
      <c r="K13" s="108" t="n"/>
      <c r="L13" s="108" t="n"/>
      <c r="M13" s="108" t="n"/>
      <c r="N13" s="108" t="n"/>
      <c r="O13" s="108" t="n"/>
      <c r="P13" s="109" t="n"/>
    </row>
    <row r="14" ht="18" customHeight="1">
      <c r="A14" s="2" t="n"/>
      <c r="B14" s="40" t="n">
        <v>44</v>
      </c>
      <c r="C14" s="41" t="inlineStr">
        <is>
          <t>Total patrimonio bruto</t>
        </is>
      </c>
      <c r="D14" s="42">
        <f>IFERROR(INDEX(LIQUIDACION_110!$D:$D,MATCH(44,LIQUIDACION_110!$A:$A,0)),0)</f>
        <v/>
      </c>
      <c r="E14" s="2" t="n"/>
      <c r="F14" s="40" t="n">
        <v>45</v>
      </c>
      <c r="G14" s="41" t="inlineStr">
        <is>
          <t>Pasivos</t>
        </is>
      </c>
      <c r="H14" s="42">
        <f>IFERROR(INDEX(LIQUIDACION_110!$D:$D,MATCH(45,LIQUIDACION_110!$A:$A,0)),0)</f>
        <v/>
      </c>
      <c r="I14" s="2" t="n"/>
      <c r="J14" s="40" t="n">
        <v>46</v>
      </c>
      <c r="K14" s="41" t="inlineStr">
        <is>
          <t>Total patrimonio liquido</t>
        </is>
      </c>
      <c r="L14" s="42">
        <f>IFERROR(INDEX(LIQUIDACION_110!$D:$D,MATCH(46,LIQUIDACION_110!$A:$A,0)),0)</f>
        <v/>
      </c>
      <c r="M14" s="2" t="n"/>
      <c r="N14" s="40" t="n">
        <v>35</v>
      </c>
      <c r="O14" s="41" t="inlineStr">
        <is>
          <t>Aportes SENA, ICBF y cajas</t>
        </is>
      </c>
      <c r="P14" s="42">
        <f>IFERROR(INDEX(LIQUIDACION_110!$D:$D,MATCH(35,LIQUIDACION_110!$A:$A,0)),0)</f>
        <v/>
      </c>
    </row>
    <row r="15" ht="18" customHeight="1">
      <c r="A15" s="2" t="n"/>
      <c r="B15" s="2" t="n"/>
      <c r="C15" s="2" t="n"/>
      <c r="D15" s="2" t="n"/>
      <c r="E15" s="2" t="n"/>
      <c r="F15" s="2" t="n"/>
      <c r="G15" s="2" t="n"/>
      <c r="H15" s="2" t="n"/>
      <c r="I15" s="2" t="n"/>
      <c r="J15" s="2" t="n"/>
      <c r="K15" s="2" t="n"/>
      <c r="L15" s="2" t="n"/>
      <c r="M15" s="2" t="n"/>
      <c r="N15" s="2" t="n"/>
      <c r="O15" s="2" t="n"/>
      <c r="P15" s="2" t="n"/>
    </row>
    <row r="16" ht="18" customHeight="1">
      <c r="A16" s="2" t="n"/>
      <c r="B16" s="45" t="inlineStr">
        <is>
          <t>Determinacion renta liquida e impuesto</t>
        </is>
      </c>
      <c r="C16" s="108" t="n"/>
      <c r="D16" s="108" t="n"/>
      <c r="E16" s="108" t="n"/>
      <c r="F16" s="108" t="n"/>
      <c r="G16" s="108" t="n"/>
      <c r="H16" s="108" t="n"/>
      <c r="I16" s="108" t="n"/>
      <c r="J16" s="108" t="n"/>
      <c r="K16" s="108" t="n"/>
      <c r="L16" s="108" t="n"/>
      <c r="M16" s="108" t="n"/>
      <c r="N16" s="108" t="n"/>
      <c r="O16" s="108" t="n"/>
      <c r="P16" s="109" t="n"/>
    </row>
    <row r="17" ht="18" customHeight="1">
      <c r="A17" s="2" t="n"/>
      <c r="B17" s="35" t="inlineStr">
        <is>
          <t>Ingresos</t>
        </is>
      </c>
      <c r="C17" s="108" t="n"/>
      <c r="D17" s="109" t="n"/>
      <c r="E17" s="2" t="n"/>
      <c r="F17" s="35" t="inlineStr">
        <is>
          <t>Costos y gastos</t>
        </is>
      </c>
      <c r="G17" s="108" t="n"/>
      <c r="H17" s="109" t="n"/>
      <c r="I17" s="2" t="n"/>
      <c r="J17" s="35" t="inlineStr">
        <is>
          <t>Depuracion</t>
        </is>
      </c>
      <c r="K17" s="108" t="n"/>
      <c r="L17" s="109" t="n"/>
      <c r="M17" s="2" t="n"/>
      <c r="N17" s="35" t="inlineStr">
        <is>
          <t>Impuesto y saldo</t>
        </is>
      </c>
      <c r="O17" s="108" t="n"/>
      <c r="P17" s="109" t="n"/>
    </row>
    <row r="18" ht="18" customHeight="1">
      <c r="A18" s="2" t="n"/>
      <c r="B18" s="40" t="n">
        <v>47</v>
      </c>
      <c r="C18" s="41" t="inlineStr">
        <is>
          <t>Ingresos ordinarios</t>
        </is>
      </c>
      <c r="D18" s="42">
        <f>IFERROR(INDEX(LIQUIDACION_110!$D:$D,MATCH(47,LIQUIDACION_110!$A:$A,0)),0)</f>
        <v/>
      </c>
      <c r="E18" s="2" t="n"/>
      <c r="F18" s="40" t="n">
        <v>62</v>
      </c>
      <c r="G18" s="41" t="inlineStr">
        <is>
          <t>Costos</t>
        </is>
      </c>
      <c r="H18" s="42">
        <f>IFERROR(INDEX(LIQUIDACION_110!$D:$D,MATCH(62,LIQUIDACION_110!$A:$A,0)),0)</f>
        <v/>
      </c>
      <c r="I18" s="2" t="n"/>
      <c r="J18" s="40" t="n">
        <v>72</v>
      </c>
      <c r="K18" s="41" t="inlineStr">
        <is>
          <t>Renta liquida ordinaria</t>
        </is>
      </c>
      <c r="L18" s="42">
        <f>IFERROR(INDEX(LIQUIDACION_110!$D:$D,MATCH(72,LIQUIDACION_110!$A:$A,0)),0)</f>
        <v/>
      </c>
      <c r="M18" s="2" t="n"/>
      <c r="N18" s="40" t="n">
        <v>97</v>
      </c>
      <c r="O18" s="41" t="inlineStr">
        <is>
          <t>Impuesto ganancias ocasionales</t>
        </is>
      </c>
      <c r="P18" s="42">
        <f>IFERROR(INDEX(LIQUIDACION_110!$D:$D,MATCH(97,LIQUIDACION_110!$A:$A,0)),0)</f>
        <v/>
      </c>
    </row>
    <row r="19" ht="18" customHeight="1">
      <c r="A19" s="2" t="n"/>
      <c r="B19" s="40" t="n">
        <v>48</v>
      </c>
      <c r="C19" s="41" t="inlineStr">
        <is>
          <t>Ingresos financieros</t>
        </is>
      </c>
      <c r="D19" s="42">
        <f>IFERROR(INDEX(LIQUIDACION_110!$D:$D,MATCH(48,LIQUIDACION_110!$A:$A,0)),0)</f>
        <v/>
      </c>
      <c r="E19" s="2" t="n"/>
      <c r="F19" s="40" t="n">
        <v>63</v>
      </c>
      <c r="G19" s="41" t="inlineStr">
        <is>
          <t>Gastos administracion</t>
        </is>
      </c>
      <c r="H19" s="42">
        <f>IFERROR(INDEX(LIQUIDACION_110!$D:$D,MATCH(63,LIQUIDACION_110!$A:$A,0)),0)</f>
        <v/>
      </c>
      <c r="I19" s="2" t="n"/>
      <c r="J19" s="40" t="n">
        <v>73</v>
      </c>
      <c r="K19" s="41" t="inlineStr">
        <is>
          <t>Perdida liquida</t>
        </is>
      </c>
      <c r="L19" s="42">
        <f>IFERROR(INDEX(LIQUIDACION_110!$D:$D,MATCH(73,LIQUIDACION_110!$A:$A,0)),0)</f>
        <v/>
      </c>
      <c r="M19" s="2" t="n"/>
      <c r="N19" s="40" t="n">
        <v>98</v>
      </c>
      <c r="O19" s="41" t="inlineStr">
        <is>
          <t>Desc. impuestos exterior GO</t>
        </is>
      </c>
      <c r="P19" s="42">
        <f>IFERROR(INDEX(LIQUIDACION_110!$D:$D,MATCH(98,LIQUIDACION_110!$A:$A,0)),0)</f>
        <v/>
      </c>
    </row>
    <row r="20" ht="18" customHeight="1">
      <c r="A20" s="2" t="n"/>
      <c r="B20" s="40" t="n">
        <v>49</v>
      </c>
      <c r="C20" s="41" t="inlineStr">
        <is>
          <t>Dividendos casilla 49</t>
        </is>
      </c>
      <c r="D20" s="42">
        <f>IFERROR(INDEX(LIQUIDACION_110!$D:$D,MATCH(49,LIQUIDACION_110!$A:$A,0)),0)</f>
        <v/>
      </c>
      <c r="E20" s="2" t="n"/>
      <c r="F20" s="40" t="n">
        <v>64</v>
      </c>
      <c r="G20" s="41" t="inlineStr">
        <is>
          <t>Gastos ventas</t>
        </is>
      </c>
      <c r="H20" s="42">
        <f>IFERROR(INDEX(LIQUIDACION_110!$D:$D,MATCH(64,LIQUIDACION_110!$A:$A,0)),0)</f>
        <v/>
      </c>
      <c r="I20" s="2" t="n"/>
      <c r="J20" s="40" t="n">
        <v>74</v>
      </c>
      <c r="K20" s="41" t="inlineStr">
        <is>
          <t>Compensaciones</t>
        </is>
      </c>
      <c r="L20" s="42">
        <f>IFERROR(INDEX(LIQUIDACION_110!$D:$D,MATCH(74,LIQUIDACION_110!$A:$A,0)),0)</f>
        <v/>
      </c>
      <c r="M20" s="2" t="n"/>
      <c r="N20" s="40" t="n">
        <v>99</v>
      </c>
      <c r="O20" s="41" t="inlineStr">
        <is>
          <t>Total impuesto a cargo</t>
        </is>
      </c>
      <c r="P20" s="42">
        <f>IFERROR(INDEX(LIQUIDACION_110!$D:$D,MATCH(99,LIQUIDACION_110!$A:$A,0)),0)</f>
        <v/>
      </c>
    </row>
    <row r="21" ht="18" customHeight="1">
      <c r="A21" s="2" t="n"/>
      <c r="B21" s="40" t="n">
        <v>50</v>
      </c>
      <c r="C21" s="41" t="inlineStr">
        <is>
          <t>Dividendos casilla 50</t>
        </is>
      </c>
      <c r="D21" s="42">
        <f>IFERROR(INDEX(LIQUIDACION_110!$D:$D,MATCH(50,LIQUIDACION_110!$A:$A,0)),0)</f>
        <v/>
      </c>
      <c r="E21" s="2" t="n"/>
      <c r="F21" s="40" t="n">
        <v>65</v>
      </c>
      <c r="G21" s="41" t="inlineStr">
        <is>
          <t>Gastos financieros</t>
        </is>
      </c>
      <c r="H21" s="42">
        <f>IFERROR(INDEX(LIQUIDACION_110!$D:$D,MATCH(65,LIQUIDACION_110!$A:$A,0)),0)</f>
        <v/>
      </c>
      <c r="I21" s="2" t="n"/>
      <c r="J21" s="40" t="n">
        <v>75</v>
      </c>
      <c r="K21" s="41" t="inlineStr">
        <is>
          <t>Renta liquida</t>
        </is>
      </c>
      <c r="L21" s="42">
        <f>IFERROR(INDEX(LIQUIDACION_110!$D:$D,MATCH(75,LIQUIDACION_110!$A:$A,0)),0)</f>
        <v/>
      </c>
      <c r="M21" s="2" t="n"/>
      <c r="N21" s="40" t="n">
        <v>100</v>
      </c>
      <c r="O21" s="41" t="inlineStr">
        <is>
          <t>Obras por impuestos mod. 1</t>
        </is>
      </c>
      <c r="P21" s="42">
        <f>IFERROR(INDEX(LIQUIDACION_110!$D:$D,MATCH(100,LIQUIDACION_110!$A:$A,0)),0)</f>
        <v/>
      </c>
    </row>
    <row r="22" ht="18" customHeight="1">
      <c r="A22" s="2" t="n"/>
      <c r="B22" s="40" t="n">
        <v>51</v>
      </c>
      <c r="C22" s="41" t="inlineStr">
        <is>
          <t>Dividendos casilla 51</t>
        </is>
      </c>
      <c r="D22" s="42">
        <f>IFERROR(INDEX(LIQUIDACION_110!$D:$D,MATCH(51,LIQUIDACION_110!$A:$A,0)),0)</f>
        <v/>
      </c>
      <c r="E22" s="2" t="n"/>
      <c r="F22" s="40" t="n">
        <v>66</v>
      </c>
      <c r="G22" s="41" t="inlineStr">
        <is>
          <t>Otros gastos</t>
        </is>
      </c>
      <c r="H22" s="42">
        <f>IFERROR(INDEX(LIQUIDACION_110!$D:$D,MATCH(66,LIQUIDACION_110!$A:$A,0)),0)</f>
        <v/>
      </c>
      <c r="I22" s="2" t="n"/>
      <c r="J22" s="40" t="n">
        <v>76</v>
      </c>
      <c r="K22" s="41" t="inlineStr">
        <is>
          <t>Renta presuntiva</t>
        </is>
      </c>
      <c r="L22" s="42">
        <f>IFERROR(INDEX(LIQUIDACION_110!$D:$D,MATCH(76,LIQUIDACION_110!$A:$A,0)),0)</f>
        <v/>
      </c>
      <c r="M22" s="2" t="n"/>
      <c r="N22" s="40" t="n">
        <v>101</v>
      </c>
      <c r="O22" s="41" t="inlineStr">
        <is>
          <t>Obras por impuestos mod. 2</t>
        </is>
      </c>
      <c r="P22" s="42">
        <f>IFERROR(INDEX(LIQUIDACION_110!$D:$D,MATCH(101,LIQUIDACION_110!$A:$A,0)),0)</f>
        <v/>
      </c>
    </row>
    <row r="23" ht="18" customHeight="1">
      <c r="A23" s="2" t="n"/>
      <c r="B23" s="40" t="n">
        <v>52</v>
      </c>
      <c r="C23" s="41" t="inlineStr">
        <is>
          <t>Dividendos casilla 52</t>
        </is>
      </c>
      <c r="D23" s="42">
        <f>IFERROR(INDEX(LIQUIDACION_110!$D:$D,MATCH(52,LIQUIDACION_110!$A:$A,0)),0)</f>
        <v/>
      </c>
      <c r="E23" s="2" t="n"/>
      <c r="F23" s="40" t="n">
        <v>67</v>
      </c>
      <c r="G23" s="41" t="inlineStr">
        <is>
          <t>Total costos y deducciones</t>
        </is>
      </c>
      <c r="H23" s="42">
        <f>IFERROR(INDEX(LIQUIDACION_110!$D:$D,MATCH(67,LIQUIDACION_110!$A:$A,0)),0)</f>
        <v/>
      </c>
      <c r="I23" s="2" t="n"/>
      <c r="J23" s="40" t="n">
        <v>77</v>
      </c>
      <c r="K23" s="41" t="inlineStr">
        <is>
          <t>Rentas exentas</t>
        </is>
      </c>
      <c r="L23" s="42">
        <f>IFERROR(INDEX(LIQUIDACION_110!$D:$D,MATCH(77,LIQUIDACION_110!$A:$A,0)),0)</f>
        <v/>
      </c>
      <c r="M23" s="2" t="n"/>
      <c r="N23" s="40" t="n">
        <v>102</v>
      </c>
      <c r="O23" s="41" t="inlineStr">
        <is>
          <t>Credito fiscal art. 256-1</t>
        </is>
      </c>
      <c r="P23" s="42">
        <f>IFERROR(INDEX(LIQUIDACION_110!$D:$D,MATCH(102,LIQUIDACION_110!$A:$A,0)),0)</f>
        <v/>
      </c>
    </row>
    <row r="24" ht="18" customHeight="1">
      <c r="A24" s="2" t="n"/>
      <c r="B24" s="40" t="n">
        <v>53</v>
      </c>
      <c r="C24" s="41" t="inlineStr">
        <is>
          <t>Dividendos casilla 53</t>
        </is>
      </c>
      <c r="D24" s="42">
        <f>IFERROR(INDEX(LIQUIDACION_110!$D:$D,MATCH(53,LIQUIDACION_110!$A:$A,0)),0)</f>
        <v/>
      </c>
      <c r="E24" s="2" t="n"/>
      <c r="F24" s="40" t="n">
        <v>68</v>
      </c>
      <c r="G24" s="41" t="inlineStr">
        <is>
          <t>Inversiones efectuadas RTE</t>
        </is>
      </c>
      <c r="H24" s="42">
        <f>IFERROR(INDEX(LIQUIDACION_110!$D:$D,MATCH(68,LIQUIDACION_110!$A:$A,0)),0)</f>
        <v/>
      </c>
      <c r="I24" s="2" t="n"/>
      <c r="J24" s="40" t="n">
        <v>78</v>
      </c>
      <c r="K24" s="41" t="inlineStr">
        <is>
          <t>Rentas gravables</t>
        </is>
      </c>
      <c r="L24" s="42">
        <f>IFERROR(INDEX(LIQUIDACION_110!$D:$D,MATCH(78,LIQUIDACION_110!$A:$A,0)),0)</f>
        <v/>
      </c>
      <c r="M24" s="2" t="n"/>
      <c r="N24" s="40" t="n">
        <v>103</v>
      </c>
      <c r="O24" s="41" t="inlineStr">
        <is>
          <t>Anticipo renta ano anterior</t>
        </is>
      </c>
      <c r="P24" s="42">
        <f>IFERROR(INDEX(LIQUIDACION_110!$D:$D,MATCH(103,LIQUIDACION_110!$A:$A,0)),0)</f>
        <v/>
      </c>
    </row>
    <row r="25" ht="18" customHeight="1">
      <c r="A25" s="2" t="n"/>
      <c r="B25" s="40" t="n">
        <v>54</v>
      </c>
      <c r="C25" s="41" t="inlineStr">
        <is>
          <t>Dividendos casilla 54</t>
        </is>
      </c>
      <c r="D25" s="42">
        <f>IFERROR(INDEX(LIQUIDACION_110!$D:$D,MATCH(54,LIQUIDACION_110!$A:$A,0)),0)</f>
        <v/>
      </c>
      <c r="E25" s="2" t="n"/>
      <c r="F25" s="40" t="n">
        <v>69</v>
      </c>
      <c r="G25" s="41" t="inlineStr">
        <is>
          <t>Inversiones liquidadas RTE</t>
        </is>
      </c>
      <c r="H25" s="42">
        <f>IFERROR(INDEX(LIQUIDACION_110!$D:$D,MATCH(69,LIQUIDACION_110!$A:$A,0)),0)</f>
        <v/>
      </c>
      <c r="I25" s="2" t="n"/>
      <c r="J25" s="40" t="n">
        <v>79</v>
      </c>
      <c r="K25" s="41" t="inlineStr">
        <is>
          <t>Renta liquida gravable</t>
        </is>
      </c>
      <c r="L25" s="42">
        <f>IFERROR(INDEX(LIQUIDACION_110!$D:$D,MATCH(79,LIQUIDACION_110!$A:$A,0)),0)</f>
        <v/>
      </c>
      <c r="M25" s="2" t="n"/>
      <c r="N25" s="40" t="n">
        <v>104</v>
      </c>
      <c r="O25" s="41" t="inlineStr">
        <is>
          <t>Saldo a favor ano anterior</t>
        </is>
      </c>
      <c r="P25" s="42">
        <f>IFERROR(INDEX(LIQUIDACION_110!$D:$D,MATCH(104,LIQUIDACION_110!$A:$A,0)),0)</f>
        <v/>
      </c>
    </row>
    <row r="26" ht="18" customHeight="1">
      <c r="A26" s="2" t="n"/>
      <c r="B26" s="40" t="n">
        <v>55</v>
      </c>
      <c r="C26" s="41" t="inlineStr">
        <is>
          <t>Dividendos casilla 55</t>
        </is>
      </c>
      <c r="D26" s="42">
        <f>IFERROR(INDEX(LIQUIDACION_110!$D:$D,MATCH(55,LIQUIDACION_110!$A:$A,0)),0)</f>
        <v/>
      </c>
      <c r="E26" s="2" t="n"/>
      <c r="F26" s="40" t="n">
        <v>70</v>
      </c>
      <c r="G26" s="41" t="inlineStr">
        <is>
          <t>Recuperacion deducciones</t>
        </is>
      </c>
      <c r="H26" s="42">
        <f>IFERROR(INDEX(LIQUIDACION_110!$D:$D,MATCH(70,LIQUIDACION_110!$A:$A,0)),0)</f>
        <v/>
      </c>
      <c r="I26" s="2" t="n"/>
      <c r="J26" s="40" t="n">
        <v>80</v>
      </c>
      <c r="K26" s="41" t="inlineStr">
        <is>
          <t>Ingresos ganancias ocasionales</t>
        </is>
      </c>
      <c r="L26" s="42">
        <f>IFERROR(INDEX(LIQUIDACION_110!$D:$D,MATCH(80,LIQUIDACION_110!$A:$A,0)),0)</f>
        <v/>
      </c>
      <c r="M26" s="2" t="n"/>
      <c r="N26" s="40" t="n">
        <v>107</v>
      </c>
      <c r="O26" s="41" t="inlineStr">
        <is>
          <t>Retenciones ano gravable</t>
        </is>
      </c>
      <c r="P26" s="42">
        <f>IFERROR(INDEX(LIQUIDACION_110!$D:$D,MATCH(107,LIQUIDACION_110!$A:$A,0)),0)</f>
        <v/>
      </c>
    </row>
    <row r="27" ht="18" customHeight="1">
      <c r="A27" s="2" t="n"/>
      <c r="B27" s="40" t="n">
        <v>56</v>
      </c>
      <c r="C27" s="41" t="inlineStr">
        <is>
          <t>Dividendos casilla 56</t>
        </is>
      </c>
      <c r="D27" s="42">
        <f>IFERROR(INDEX(LIQUIDACION_110!$D:$D,MATCH(56,LIQUIDACION_110!$A:$A,0)),0)</f>
        <v/>
      </c>
      <c r="E27" s="2" t="n"/>
      <c r="F27" s="40" t="n">
        <v>71</v>
      </c>
      <c r="G27" s="41" t="inlineStr">
        <is>
          <t>ECE</t>
        </is>
      </c>
      <c r="H27" s="42">
        <f>IFERROR(INDEX(LIQUIDACION_110!$D:$D,MATCH(71,LIQUIDACION_110!$A:$A,0)),0)</f>
        <v/>
      </c>
      <c r="I27" s="2" t="n"/>
      <c r="J27" s="40" t="n">
        <v>81</v>
      </c>
      <c r="K27" s="41" t="inlineStr">
        <is>
          <t>Costos ganancias ocasionales</t>
        </is>
      </c>
      <c r="L27" s="42">
        <f>IFERROR(INDEX(LIQUIDACION_110!$D:$D,MATCH(81,LIQUIDACION_110!$A:$A,0)),0)</f>
        <v/>
      </c>
      <c r="M27" s="2" t="n"/>
      <c r="N27" s="40" t="n">
        <v>108</v>
      </c>
      <c r="O27" s="41" t="inlineStr">
        <is>
          <t>Anticipo renta ano siguiente</t>
        </is>
      </c>
      <c r="P27" s="42">
        <f>IFERROR(INDEX(LIQUIDACION_110!$D:$D,MATCH(108,LIQUIDACION_110!$A:$A,0)),0)</f>
        <v/>
      </c>
    </row>
    <row r="28" ht="18" customHeight="1">
      <c r="A28" s="2" t="n"/>
      <c r="B28" s="40" t="n">
        <v>57</v>
      </c>
      <c r="C28" s="41" t="inlineStr">
        <is>
          <t>Otros ingresos</t>
        </is>
      </c>
      <c r="D28" s="42">
        <f>IFERROR(INDEX(LIQUIDACION_110!$D:$D,MATCH(57,LIQUIDACION_110!$A:$A,0)),0)</f>
        <v/>
      </c>
      <c r="E28" s="2" t="n"/>
      <c r="F28" s="2" t="n"/>
      <c r="G28" s="2" t="n"/>
      <c r="H28" s="2" t="n"/>
      <c r="I28" s="2" t="n"/>
      <c r="J28" s="40" t="n">
        <v>82</v>
      </c>
      <c r="K28" s="41" t="inlineStr">
        <is>
          <t>GO no gravadas y exentas</t>
        </is>
      </c>
      <c r="L28" s="42">
        <f>IFERROR(INDEX(LIQUIDACION_110!$D:$D,MATCH(82,LIQUIDACION_110!$A:$A,0)),0)</f>
        <v/>
      </c>
      <c r="M28" s="2" t="n"/>
      <c r="N28" s="40" t="n">
        <v>111</v>
      </c>
      <c r="O28" s="41" t="inlineStr">
        <is>
          <t>Saldo a pagar por impuesto</t>
        </is>
      </c>
      <c r="P28" s="42">
        <f>IFERROR(INDEX(LIQUIDACION_110!$D:$D,MATCH(111,LIQUIDACION_110!$A:$A,0)),0)</f>
        <v/>
      </c>
    </row>
    <row r="29" ht="18" customHeight="1">
      <c r="A29" s="2" t="n"/>
      <c r="B29" s="40" t="n">
        <v>58</v>
      </c>
      <c r="C29" s="41" t="inlineStr">
        <is>
          <t>Total ingresos brutos</t>
        </is>
      </c>
      <c r="D29" s="42">
        <f>IFERROR(INDEX(LIQUIDACION_110!$D:$D,MATCH(58,LIQUIDACION_110!$A:$A,0)),0)</f>
        <v/>
      </c>
      <c r="E29" s="2" t="n"/>
      <c r="F29" s="2" t="n"/>
      <c r="G29" s="2" t="n"/>
      <c r="H29" s="2" t="n"/>
      <c r="I29" s="2" t="n"/>
      <c r="J29" s="40" t="n">
        <v>83</v>
      </c>
      <c r="K29" s="41" t="inlineStr">
        <is>
          <t>GO gravables</t>
        </is>
      </c>
      <c r="L29" s="42">
        <f>IFERROR(INDEX(LIQUIDACION_110!$D:$D,MATCH(83,LIQUIDACION_110!$A:$A,0)),0)</f>
        <v/>
      </c>
      <c r="M29" s="2" t="n"/>
      <c r="N29" s="40" t="n">
        <v>113</v>
      </c>
      <c r="O29" s="41" t="inlineStr">
        <is>
          <t>Total saldo a pagar</t>
        </is>
      </c>
      <c r="P29" s="42">
        <f>IFERROR(INDEX(LIQUIDACION_110!$D:$D,MATCH(113,LIQUIDACION_110!$A:$A,0)),0)</f>
        <v/>
      </c>
    </row>
    <row r="30" ht="18" customHeight="1">
      <c r="A30" s="2" t="n"/>
      <c r="B30" s="40" t="n">
        <v>59</v>
      </c>
      <c r="C30" s="44" t="inlineStr">
        <is>
          <t>Devoluciones, rebajas y descuentos</t>
        </is>
      </c>
      <c r="D30" s="42">
        <f>IFERROR(INDEX(LIQUIDACION_110!$D:$D,MATCH(59,LIQUIDACION_110!$A:$A,0)),0)</f>
        <v/>
      </c>
      <c r="E30" s="2" t="n"/>
      <c r="F30" s="2" t="n"/>
      <c r="G30" s="2" t="n"/>
      <c r="H30" s="2" t="n"/>
      <c r="I30" s="2" t="n"/>
      <c r="J30" s="40" t="n">
        <v>84</v>
      </c>
      <c r="K30" s="44" t="inlineStr">
        <is>
          <t>Impuesto sobre renta liquida gravable</t>
        </is>
      </c>
      <c r="L30" s="42">
        <f>IFERROR(INDEX(LIQUIDACION_110!$D:$D,MATCH(84,LIQUIDACION_110!$A:$A,0)),0)</f>
        <v/>
      </c>
      <c r="M30" s="2" t="n"/>
      <c r="N30" s="40" t="n">
        <v>114</v>
      </c>
      <c r="O30" s="41" t="inlineStr">
        <is>
          <t>Total saldo a favor</t>
        </is>
      </c>
      <c r="P30" s="42">
        <f>IFERROR(INDEX(LIQUIDACION_110!$D:$D,MATCH(114,LIQUIDACION_110!$A:$A,0)),0)</f>
        <v/>
      </c>
    </row>
    <row r="31" ht="18" customHeight="1">
      <c r="A31" s="2" t="n"/>
      <c r="B31" s="40" t="n">
        <v>60</v>
      </c>
      <c r="C31" s="41" t="inlineStr">
        <is>
          <t>Ingresos no constitutivos</t>
        </is>
      </c>
      <c r="D31" s="42">
        <f>IFERROR(INDEX(LIQUIDACION_110!$D:$D,MATCH(60,LIQUIDACION_110!$A:$A,0)),0)</f>
        <v/>
      </c>
      <c r="E31" s="2" t="n"/>
      <c r="F31" s="2" t="n"/>
      <c r="G31" s="2" t="n"/>
      <c r="H31" s="2" t="n"/>
      <c r="I31" s="2" t="n"/>
      <c r="J31" s="40" t="n">
        <v>91</v>
      </c>
      <c r="K31" s="41" t="inlineStr">
        <is>
          <t>Total impuesto rentas liquidas</t>
        </is>
      </c>
      <c r="L31" s="42">
        <f>IFERROR(INDEX(LIQUIDACION_110!$D:$D,MATCH(91,LIQUIDACION_110!$A:$A,0)),0)</f>
        <v/>
      </c>
      <c r="M31" s="2" t="n"/>
      <c r="N31" s="40" t="n">
        <v>980</v>
      </c>
      <c r="O31" s="41" t="inlineStr">
        <is>
          <t>Pago total</t>
        </is>
      </c>
      <c r="P31" s="42">
        <f>IFERROR(INDEX(LIQUIDACION_110!$D:$D,MATCH(980,LIQUIDACION_110!$A:$A,0)),0)</f>
        <v/>
      </c>
    </row>
    <row r="32" ht="18" customHeight="1">
      <c r="A32" s="2" t="n"/>
      <c r="B32" s="40" t="n">
        <v>61</v>
      </c>
      <c r="C32" s="41" t="inlineStr">
        <is>
          <t>Total ingresos netos</t>
        </is>
      </c>
      <c r="D32" s="42">
        <f>IFERROR(INDEX(LIQUIDACION_110!$D:$D,MATCH(61,LIQUIDACION_110!$A:$A,0)),0)</f>
        <v/>
      </c>
      <c r="E32" s="2" t="n"/>
      <c r="F32" s="2" t="n"/>
      <c r="G32" s="2" t="n"/>
      <c r="H32" s="2" t="n"/>
      <c r="I32" s="2" t="n"/>
      <c r="J32" s="40" t="n">
        <v>92</v>
      </c>
      <c r="K32" s="41" t="inlineStr">
        <is>
          <t>VAA art. 259-1</t>
        </is>
      </c>
      <c r="L32" s="42">
        <f>IFERROR(INDEX(LIQUIDACION_110!$D:$D,MATCH(92,LIQUIDACION_110!$A:$A,0)),0)</f>
        <v/>
      </c>
      <c r="M32" s="2" t="n"/>
      <c r="N32" s="2" t="n"/>
      <c r="O32" s="2" t="n"/>
      <c r="P32" s="2" t="n"/>
    </row>
    <row r="33" ht="18" customHeight="1">
      <c r="A33" s="2" t="n"/>
      <c r="B33" s="2" t="n"/>
      <c r="C33" s="2" t="n"/>
      <c r="D33" s="2" t="n"/>
      <c r="E33" s="2" t="n"/>
      <c r="F33" s="2" t="n"/>
      <c r="G33" s="2" t="n"/>
      <c r="H33" s="2" t="n"/>
      <c r="I33" s="2" t="n"/>
      <c r="J33" s="40" t="n">
        <v>93</v>
      </c>
      <c r="K33" s="41" t="inlineStr">
        <is>
          <t>Descuentos tributarios</t>
        </is>
      </c>
      <c r="L33" s="42">
        <f>IFERROR(INDEX(LIQUIDACION_110!$D:$D,MATCH(93,LIQUIDACION_110!$A:$A,0)),0)</f>
        <v/>
      </c>
      <c r="M33" s="2" t="n"/>
      <c r="N33" s="2" t="n"/>
      <c r="O33" s="2" t="n"/>
      <c r="P33" s="2" t="n"/>
    </row>
    <row r="34" ht="18" customHeight="1">
      <c r="A34" s="2" t="n"/>
      <c r="B34" s="2" t="n"/>
      <c r="C34" s="2" t="n"/>
      <c r="D34" s="2" t="n"/>
      <c r="E34" s="2" t="n"/>
      <c r="F34" s="2" t="n"/>
      <c r="G34" s="2" t="n"/>
      <c r="H34" s="2" t="n"/>
      <c r="I34" s="2" t="n"/>
      <c r="J34" s="40" t="n">
        <v>94</v>
      </c>
      <c r="K34" s="41" t="inlineStr">
        <is>
          <t>Impuesto neto sin IA</t>
        </is>
      </c>
      <c r="L34" s="42">
        <f>IFERROR(INDEX(LIQUIDACION_110!$D:$D,MATCH(94,LIQUIDACION_110!$A:$A,0)),0)</f>
        <v/>
      </c>
      <c r="M34" s="2" t="n"/>
      <c r="N34" s="2" t="n"/>
      <c r="O34" s="2" t="n"/>
      <c r="P34" s="2" t="n"/>
    </row>
    <row r="35" ht="18" customHeight="1">
      <c r="A35" s="2" t="n"/>
      <c r="B35" s="2" t="n"/>
      <c r="C35" s="2" t="n"/>
      <c r="D35" s="2" t="n"/>
      <c r="E35" s="2" t="n"/>
      <c r="F35" s="2" t="n"/>
      <c r="G35" s="2" t="n"/>
      <c r="H35" s="2" t="n"/>
      <c r="I35" s="2" t="n"/>
      <c r="J35" s="40" t="n">
        <v>95</v>
      </c>
      <c r="K35" s="41" t="inlineStr">
        <is>
          <t>Impuesto a adicionar IA</t>
        </is>
      </c>
      <c r="L35" s="42">
        <f>IFERROR(INDEX(LIQUIDACION_110!$D:$D,MATCH(95,LIQUIDACION_110!$A:$A,0)),0)</f>
        <v/>
      </c>
      <c r="M35" s="2" t="n"/>
      <c r="N35" s="2" t="n"/>
      <c r="O35" s="2" t="n"/>
      <c r="P35" s="2" t="n"/>
    </row>
    <row r="36" ht="18" customHeight="1">
      <c r="A36" s="2" t="n"/>
      <c r="B36" s="2" t="n"/>
      <c r="C36" s="2" t="n"/>
      <c r="D36" s="2" t="n"/>
      <c r="E36" s="2" t="n"/>
      <c r="F36" s="2" t="n"/>
      <c r="G36" s="2" t="n"/>
      <c r="H36" s="2" t="n"/>
      <c r="I36" s="2" t="n"/>
      <c r="J36" s="40" t="n">
        <v>96</v>
      </c>
      <c r="K36" s="41" t="inlineStr">
        <is>
          <t>Impuesto neto con IA</t>
        </is>
      </c>
      <c r="L36" s="42">
        <f>IFERROR(INDEX(LIQUIDACION_110!$D:$D,MATCH(96,LIQUIDACION_110!$A:$A,0)),0)</f>
        <v/>
      </c>
      <c r="M36" s="2" t="n"/>
      <c r="N36" s="2" t="n"/>
      <c r="O36" s="2" t="n"/>
      <c r="P36" s="2" t="n"/>
    </row>
    <row r="37" ht="18" customHeight="1">
      <c r="A37" s="2" t="n"/>
      <c r="B37" s="2" t="n"/>
      <c r="C37" s="2" t="n"/>
      <c r="D37" s="2" t="n"/>
      <c r="E37" s="2" t="n"/>
      <c r="F37" s="2" t="n"/>
      <c r="G37" s="2" t="n"/>
      <c r="H37" s="2" t="n"/>
      <c r="I37" s="2" t="n"/>
      <c r="J37" s="2" t="n"/>
      <c r="K37" s="2" t="n"/>
      <c r="L37" s="2" t="n"/>
      <c r="M37" s="2" t="n"/>
      <c r="N37" s="2" t="n"/>
      <c r="O37" s="2" t="n"/>
      <c r="P37" s="2" t="n"/>
    </row>
    <row r="38" ht="18" customHeight="1">
      <c r="A38" s="2" t="n"/>
      <c r="B38" s="47" t="inlineStr">
        <is>
          <t>Salida compacta tipo output. Para vista casi oficial usa FORMULARIO_110_DIAN. Antes de usar cualquier valor, revisa LIQUIDACION_110, VALIDACIONES y soportes.</t>
        </is>
      </c>
      <c r="C38" s="108" t="n"/>
      <c r="D38" s="108" t="n"/>
      <c r="E38" s="108" t="n"/>
      <c r="F38" s="108" t="n"/>
      <c r="G38" s="108" t="n"/>
      <c r="H38" s="108" t="n"/>
      <c r="I38" s="108" t="n"/>
      <c r="J38" s="108" t="n"/>
      <c r="K38" s="108" t="n"/>
      <c r="L38" s="108" t="n"/>
      <c r="M38" s="108" t="n"/>
      <c r="N38" s="108" t="n"/>
      <c r="O38" s="108" t="n"/>
      <c r="P38" s="109" t="n"/>
    </row>
  </sheetData>
  <mergeCells count="14">
    <mergeCell ref="L4:P4"/>
    <mergeCell ref="B38:P38"/>
    <mergeCell ref="B16:P16"/>
    <mergeCell ref="N1:P2"/>
    <mergeCell ref="D1:K2"/>
    <mergeCell ref="B1:C2"/>
    <mergeCell ref="B17:D17"/>
    <mergeCell ref="N17:P17"/>
    <mergeCell ref="L1:M2"/>
    <mergeCell ref="B5:P8"/>
    <mergeCell ref="F17:H17"/>
    <mergeCell ref="J17:L17"/>
    <mergeCell ref="B9:P9"/>
    <mergeCell ref="B13:P13"/>
  </mergeCells>
  <pageMargins left="0.75" right="0.75" top="1" bottom="1" header="0.5" footer="0.5"/>
  <pageSetup orientation="landscape" fitToHeight="1" fitToWidth="1"/>
</worksheet>
</file>

<file path=xl/worksheets/sheet11.xml><?xml version="1.0" encoding="utf-8"?>
<worksheet xmlns="http://schemas.openxmlformats.org/spreadsheetml/2006/main">
  <sheetPr>
    <tabColor rgb="00C9A227"/>
    <outlinePr summaryBelow="1" summaryRight="1"/>
    <pageSetUpPr/>
  </sheetPr>
  <dimension ref="A1:X58"/>
  <sheetViews>
    <sheetView showGridLines="0" workbookViewId="0">
      <pane xSplit="1" ySplit="11" topLeftCell="B12" activePane="bottomRight" state="frozen"/>
      <selection pane="topRight" activeCell="A1" sqref="A1"/>
      <selection pane="bottomLeft" activeCell="A1" sqref="A1"/>
      <selection pane="bottomRight" activeCell="A1" sqref="A1"/>
    </sheetView>
  </sheetViews>
  <sheetFormatPr baseColWidth="8" defaultRowHeight="15"/>
  <cols>
    <col width="4" customWidth="1" min="1" max="1"/>
    <col width="11" customWidth="1" min="2" max="2"/>
    <col width="11" customWidth="1" min="3" max="3"/>
    <col width="11" customWidth="1" min="4" max="4"/>
    <col width="11" customWidth="1" min="5" max="5"/>
    <col width="11" customWidth="1" min="6" max="6"/>
    <col width="11" customWidth="1" min="7" max="7"/>
    <col width="4.5" customWidth="1" min="8" max="8"/>
    <col width="9" customWidth="1" min="9" max="9"/>
    <col width="9" customWidth="1" min="10" max="10"/>
    <col width="9" customWidth="1" min="11" max="11"/>
    <col width="9" customWidth="1" min="12" max="12"/>
    <col width="4" customWidth="1" min="13" max="13"/>
    <col width="11" customWidth="1" min="14" max="14"/>
    <col width="11" customWidth="1" min="15" max="15"/>
    <col width="11" customWidth="1" min="16" max="16"/>
    <col width="11" customWidth="1" min="17" max="17"/>
    <col width="11" customWidth="1" min="18" max="18"/>
    <col width="11" customWidth="1" min="19" max="19"/>
    <col width="4.5" customWidth="1" min="20" max="20"/>
    <col width="9" customWidth="1" min="21" max="21"/>
    <col width="9" customWidth="1" min="22" max="22"/>
    <col width="9" customWidth="1" min="23" max="23"/>
    <col width="9" customWidth="1" min="24" max="24"/>
  </cols>
  <sheetData>
    <row r="1" ht="24" customHeight="1">
      <c r="A1" s="2" t="n"/>
      <c r="B1" s="49" t="inlineStr">
        <is>
          <t>DIAN</t>
        </is>
      </c>
      <c r="C1" s="124" t="n"/>
      <c r="D1" s="124" t="n"/>
      <c r="E1" s="117" t="n"/>
      <c r="F1" s="29" t="inlineStr">
        <is>
          <t>Declaracion de renta y complementario para personas juridicas
AG 2025 | Vista tipo formulario para revision interna HazelRo</t>
        </is>
      </c>
      <c r="G1" s="124" t="n"/>
      <c r="H1" s="124" t="n"/>
      <c r="I1" s="124" t="n"/>
      <c r="J1" s="124" t="n"/>
      <c r="K1" s="124" t="n"/>
      <c r="L1" s="124" t="n"/>
      <c r="M1" s="124" t="n"/>
      <c r="N1" s="124" t="n"/>
      <c r="O1" s="124" t="n"/>
      <c r="P1" s="124" t="n"/>
      <c r="Q1" s="124" t="n"/>
      <c r="R1" s="124" t="n"/>
      <c r="S1" s="117" t="n"/>
      <c r="T1" s="52" t="inlineStr">
        <is>
          <t>110</t>
        </is>
      </c>
      <c r="U1" s="124" t="n"/>
      <c r="V1" s="124" t="n"/>
      <c r="W1" s="124" t="n"/>
      <c r="X1" s="117" t="n"/>
    </row>
    <row r="2" ht="30" customHeight="1">
      <c r="A2" s="2" t="n"/>
      <c r="B2" s="118" t="n"/>
      <c r="E2" s="119" t="n"/>
      <c r="F2" s="118" t="n"/>
      <c r="S2" s="119" t="n"/>
      <c r="T2" s="118" t="n"/>
      <c r="X2" s="119" t="n"/>
    </row>
    <row r="3" ht="24" customHeight="1">
      <c r="A3" s="2" t="n"/>
      <c r="B3" s="120" t="n"/>
      <c r="C3" s="125" t="n"/>
      <c r="D3" s="125" t="n"/>
      <c r="E3" s="121" t="n"/>
      <c r="F3" s="120" t="n"/>
      <c r="G3" s="125" t="n"/>
      <c r="H3" s="125" t="n"/>
      <c r="I3" s="125" t="n"/>
      <c r="J3" s="125" t="n"/>
      <c r="K3" s="125" t="n"/>
      <c r="L3" s="125" t="n"/>
      <c r="M3" s="125" t="n"/>
      <c r="N3" s="125" t="n"/>
      <c r="O3" s="125" t="n"/>
      <c r="P3" s="125" t="n"/>
      <c r="Q3" s="125" t="n"/>
      <c r="R3" s="125" t="n"/>
      <c r="S3" s="121" t="n"/>
      <c r="T3" s="120" t="n"/>
      <c r="U3" s="125" t="n"/>
      <c r="V3" s="125" t="n"/>
      <c r="W3" s="125" t="n"/>
      <c r="X3" s="121" t="n"/>
    </row>
    <row r="4" ht="19" customHeight="1">
      <c r="A4" s="2" t="n"/>
      <c r="B4" s="8" t="inlineStr">
        <is>
          <t>1. Ano</t>
        </is>
      </c>
      <c r="C4" s="109" t="n"/>
      <c r="D4" s="59">
        <f>PARAMS!$B$5</f>
        <v/>
      </c>
      <c r="E4" s="109" t="n"/>
      <c r="F4" s="8" t="inlineStr">
        <is>
          <t>29. Fraccion ano gravable siguiente</t>
        </is>
      </c>
      <c r="G4" s="108" t="n"/>
      <c r="H4" s="108" t="n"/>
      <c r="I4" s="108" t="n"/>
      <c r="J4" s="108" t="n"/>
      <c r="K4" s="109" t="n"/>
      <c r="L4" s="61">
        <f>IF(IFERROR(INDEX(LIQUIDACION_110!$D:$D,MATCH(29,LIQUIDACION_110!$A:$A,0)),0)&gt;0,"X","")</f>
        <v/>
      </c>
      <c r="M4" s="8" t="inlineStr">
        <is>
          <t>4. Numero de formulario</t>
        </is>
      </c>
      <c r="N4" s="108" t="n"/>
      <c r="O4" s="108" t="n"/>
      <c r="P4" s="108" t="n"/>
      <c r="Q4" s="108" t="n"/>
      <c r="R4" s="108" t="n"/>
      <c r="S4" s="109" t="n"/>
      <c r="T4" s="59">
        <f>IF(IFERROR(INDEX(LIQUIDACION_110!$D:$D,MATCH(4,LIQUIDACION_110!$A:$A,0)),0)=0,"",IFERROR(INDEX(LIQUIDACION_110!$D:$D,MATCH(4,LIQUIDACION_110!$A:$A,0)),0))</f>
        <v/>
      </c>
      <c r="U4" s="108" t="n"/>
      <c r="V4" s="108" t="n"/>
      <c r="W4" s="108" t="n"/>
      <c r="X4" s="109" t="n"/>
    </row>
    <row r="5" ht="19" customHeight="1">
      <c r="A5" s="2" t="n"/>
      <c r="B5" s="8" t="inlineStr">
        <is>
          <t>5. No. Identificacion Tributaria (NIT)</t>
        </is>
      </c>
      <c r="C5" s="108" t="n"/>
      <c r="D5" s="108" t="n"/>
      <c r="E5" s="108" t="n"/>
      <c r="F5" s="108" t="n"/>
      <c r="G5" s="108" t="n"/>
      <c r="H5" s="109" t="n"/>
      <c r="I5" s="59">
        <f>IF(IFERROR(INDEX(LIQUIDACION_110!$D:$D,MATCH(5,LIQUIDACION_110!$A:$A,0)),0)=0,"",IFERROR(INDEX(LIQUIDACION_110!$D:$D,MATCH(5,LIQUIDACION_110!$A:$A,0)),0))</f>
        <v/>
      </c>
      <c r="J5" s="108" t="n"/>
      <c r="K5" s="108" t="n"/>
      <c r="L5" s="109" t="n"/>
      <c r="M5" s="8" t="inlineStr">
        <is>
          <t>6. DV</t>
        </is>
      </c>
      <c r="N5" s="109" t="n"/>
      <c r="O5" s="59">
        <f>IF(IFERROR(INDEX(LIQUIDACION_110!$D:$D,MATCH(6,LIQUIDACION_110!$A:$A,0)),0)=0,"",IFERROR(INDEX(LIQUIDACION_110!$D:$D,MATCH(6,LIQUIDACION_110!$A:$A,0)),0))</f>
        <v/>
      </c>
      <c r="P5" s="109" t="n"/>
      <c r="Q5" s="62" t="inlineStr">
        <is>
          <t>Datos del declarante</t>
        </is>
      </c>
      <c r="R5" s="108" t="n"/>
      <c r="S5" s="108" t="n"/>
      <c r="T5" s="108" t="n"/>
      <c r="U5" s="108" t="n"/>
      <c r="V5" s="108" t="n"/>
      <c r="W5" s="108" t="n"/>
      <c r="X5" s="109" t="n"/>
    </row>
    <row r="6" ht="19" customHeight="1">
      <c r="A6" s="2" t="n"/>
      <c r="B6" s="8" t="inlineStr">
        <is>
          <t>11. Razon social</t>
        </is>
      </c>
      <c r="C6" s="109" t="n"/>
      <c r="D6" s="63">
        <f>IFERROR(INDEX(LIQUIDACION_110!$D:$D,MATCH(11,LIQUIDACION_110!$A:$A,0)),"")</f>
        <v/>
      </c>
      <c r="E6" s="108" t="n"/>
      <c r="F6" s="108" t="n"/>
      <c r="G6" s="108" t="n"/>
      <c r="H6" s="108" t="n"/>
      <c r="I6" s="108" t="n"/>
      <c r="J6" s="108" t="n"/>
      <c r="K6" s="108" t="n"/>
      <c r="L6" s="108" t="n"/>
      <c r="M6" s="108" t="n"/>
      <c r="N6" s="108" t="n"/>
      <c r="O6" s="108" t="n"/>
      <c r="P6" s="108" t="n"/>
      <c r="Q6" s="108" t="n"/>
      <c r="R6" s="108" t="n"/>
      <c r="S6" s="109" t="n"/>
      <c r="T6" s="64" t="inlineStr">
        <is>
          <t>12. Cod. Direcc. Seccional</t>
        </is>
      </c>
      <c r="U6" s="108" t="n"/>
      <c r="V6" s="109" t="n"/>
      <c r="W6" s="59">
        <f>IF(IFERROR(INDEX(LIQUIDACION_110!$D:$D,MATCH(12,LIQUIDACION_110!$A:$A,0)),0)=0,"",IFERROR(INDEX(LIQUIDACION_110!$D:$D,MATCH(12,LIQUIDACION_110!$A:$A,0)),0))</f>
        <v/>
      </c>
      <c r="X6" s="109" t="n"/>
    </row>
    <row r="7" ht="19" customHeight="1">
      <c r="A7" s="2" t="n"/>
      <c r="B7" s="8" t="inlineStr">
        <is>
          <t>24. Actividad economica principal</t>
        </is>
      </c>
      <c r="C7" s="108" t="n"/>
      <c r="D7" s="108" t="n"/>
      <c r="E7" s="108" t="n"/>
      <c r="F7" s="108" t="n"/>
      <c r="G7" s="108" t="n"/>
      <c r="H7" s="109" t="n"/>
      <c r="I7" s="59">
        <f>IF(IFERROR(INDEX(LIQUIDACION_110!$D:$D,MATCH(24,LIQUIDACION_110!$A:$A,0)),0)=0,"",IFERROR(INDEX(LIQUIDACION_110!$D:$D,MATCH(24,LIQUIDACION_110!$A:$A,0)),0))</f>
        <v/>
      </c>
      <c r="J7" s="108" t="n"/>
      <c r="K7" s="108" t="n"/>
      <c r="L7" s="109" t="n"/>
      <c r="M7" s="8" t="inlineStr">
        <is>
          <t>25. Cod. correccion</t>
        </is>
      </c>
      <c r="N7" s="108" t="n"/>
      <c r="O7" s="108" t="n"/>
      <c r="P7" s="109" t="n"/>
      <c r="Q7" s="59">
        <f>IF(IFERROR(INDEX(LIQUIDACION_110!$D:$D,MATCH(25,LIQUIDACION_110!$A:$A,0)),0)=0,"",IFERROR(INDEX(LIQUIDACION_110!$D:$D,MATCH(25,LIQUIDACION_110!$A:$A,0)),0))</f>
        <v/>
      </c>
      <c r="R7" s="109" t="n"/>
      <c r="S7" s="64" t="inlineStr">
        <is>
          <t>26. No. Formulario anterior</t>
        </is>
      </c>
      <c r="T7" s="108" t="n"/>
      <c r="U7" s="108" t="n"/>
      <c r="V7" s="109" t="n"/>
      <c r="W7" s="59">
        <f>IF(IFERROR(INDEX(LIQUIDACION_110!$D:$D,MATCH(26,LIQUIDACION_110!$A:$A,0)),0)=0,"",IFERROR(INDEX(LIQUIDACION_110!$D:$D,MATCH(26,LIQUIDACION_110!$A:$A,0)),0))</f>
        <v/>
      </c>
      <c r="X7" s="109" t="n"/>
    </row>
    <row r="8" ht="19" customHeight="1">
      <c r="A8" s="2" t="n"/>
      <c r="B8" s="64" t="inlineStr">
        <is>
          <t>30. Renuncio a pertenecer al Regimen Tributario Especial</t>
        </is>
      </c>
      <c r="C8" s="108" t="n"/>
      <c r="D8" s="108" t="n"/>
      <c r="E8" s="108" t="n"/>
      <c r="F8" s="108" t="n"/>
      <c r="G8" s="109" t="n"/>
      <c r="H8" s="61">
        <f>IF(IFERROR(INDEX(LIQUIDACION_110!$D:$D,MATCH(30,LIQUIDACION_110!$A:$A,0)),0)&gt;0,"X","")</f>
        <v/>
      </c>
      <c r="I8" s="64" t="inlineStr">
        <is>
          <t>31. Vinculado al pago de obras por impuestos</t>
        </is>
      </c>
      <c r="J8" s="108" t="n"/>
      <c r="K8" s="108" t="n"/>
      <c r="L8" s="108" t="n"/>
      <c r="M8" s="108" t="n"/>
      <c r="N8" s="108" t="n"/>
      <c r="O8" s="108" t="n"/>
      <c r="P8" s="108" t="n"/>
      <c r="Q8" s="108" t="n"/>
      <c r="R8" s="109" t="n"/>
      <c r="S8" s="61">
        <f>IF(IFERROR(INDEX(LIQUIDACION_110!$D:$D,MATCH(31,LIQUIDACION_110!$A:$A,0)),0)&gt;0,"X","")</f>
        <v/>
      </c>
      <c r="T8" s="62" t="inlineStr">
        <is>
          <t>Datos informativos</t>
        </is>
      </c>
      <c r="U8" s="108" t="n"/>
      <c r="V8" s="108" t="n"/>
      <c r="W8" s="108" t="n"/>
      <c r="X8" s="109" t="n"/>
    </row>
    <row r="9" ht="19" customHeight="1">
      <c r="A9" s="2" t="n"/>
      <c r="B9" s="8" t="inlineStr">
        <is>
          <t>33. Total costos y gastos de nomina</t>
        </is>
      </c>
      <c r="C9" s="108" t="n"/>
      <c r="D9" s="108" t="n"/>
      <c r="E9" s="108" t="n"/>
      <c r="F9" s="108" t="n"/>
      <c r="G9" s="109" t="n"/>
      <c r="H9" s="65">
        <f>IF(IFERROR(INDEX(LIQUIDACION_110!$D:$D,MATCH(33,LIQUIDACION_110!$A:$A,0)),0)=0,"",IFERROR(INDEX(LIQUIDACION_110!$D:$D,MATCH(33,LIQUIDACION_110!$A:$A,0)),0))</f>
        <v/>
      </c>
      <c r="I9" s="108" t="n"/>
      <c r="J9" s="108" t="n"/>
      <c r="K9" s="108" t="n"/>
      <c r="L9" s="109" t="n"/>
      <c r="M9" s="64" t="inlineStr">
        <is>
          <t>34. Aportes al sistema de seguridad social</t>
        </is>
      </c>
      <c r="N9" s="108" t="n"/>
      <c r="O9" s="108" t="n"/>
      <c r="P9" s="108" t="n"/>
      <c r="Q9" s="108" t="n"/>
      <c r="R9" s="108" t="n"/>
      <c r="S9" s="109" t="n"/>
      <c r="T9" s="65">
        <f>IF(IFERROR(INDEX(LIQUIDACION_110!$D:$D,MATCH(34,LIQUIDACION_110!$A:$A,0)),0)=0,"",IFERROR(INDEX(LIQUIDACION_110!$D:$D,MATCH(34,LIQUIDACION_110!$A:$A,0)),0))</f>
        <v/>
      </c>
      <c r="U9" s="108" t="n"/>
      <c r="V9" s="108" t="n"/>
      <c r="W9" s="108" t="n"/>
      <c r="X9" s="109" t="n"/>
    </row>
    <row r="10" ht="19" customHeight="1">
      <c r="A10" s="2" t="n"/>
      <c r="B10" s="64" t="inlineStr">
        <is>
          <t>35. Aportes al SENA, ICBF y cajas de compensacion</t>
        </is>
      </c>
      <c r="C10" s="108" t="n"/>
      <c r="D10" s="108" t="n"/>
      <c r="E10" s="108" t="n"/>
      <c r="F10" s="108" t="n"/>
      <c r="G10" s="108" t="n"/>
      <c r="H10" s="108" t="n"/>
      <c r="I10" s="108" t="n"/>
      <c r="J10" s="109" t="n"/>
      <c r="K10" s="65">
        <f>IF(IFERROR(INDEX(LIQUIDACION_110!$D:$D,MATCH(35,LIQUIDACION_110!$A:$A,0)),0)=0,"",IFERROR(INDEX(LIQUIDACION_110!$D:$D,MATCH(35,LIQUIDACION_110!$A:$A,0)),0))</f>
        <v/>
      </c>
      <c r="L10" s="108" t="n"/>
      <c r="M10" s="108" t="n"/>
      <c r="N10" s="108" t="n"/>
      <c r="O10" s="109" t="n"/>
      <c r="P10" s="66" t="inlineStr">
        <is>
          <t>Vista no oficial para revision. Los valores provienen del motor de calculo.</t>
        </is>
      </c>
      <c r="Q10" s="108" t="n"/>
      <c r="R10" s="108" t="n"/>
      <c r="S10" s="108" t="n"/>
      <c r="T10" s="108" t="n"/>
      <c r="U10" s="108" t="n"/>
      <c r="V10" s="108" t="n"/>
      <c r="W10" s="108" t="n"/>
      <c r="X10" s="109" t="n"/>
    </row>
    <row r="11" ht="19" customHeight="1">
      <c r="A11" s="2" t="n"/>
      <c r="B11" s="2" t="n"/>
      <c r="C11" s="2" t="n"/>
      <c r="D11" s="2" t="n"/>
      <c r="E11" s="2" t="n"/>
      <c r="F11" s="2" t="n"/>
      <c r="G11" s="2" t="n"/>
      <c r="H11" s="2" t="n"/>
      <c r="I11" s="2" t="n"/>
      <c r="J11" s="2" t="n"/>
      <c r="K11" s="2" t="n"/>
      <c r="L11" s="2" t="n"/>
      <c r="M11" s="2" t="n"/>
      <c r="N11" s="2" t="n"/>
      <c r="O11" s="2" t="n"/>
      <c r="P11" s="2" t="n"/>
      <c r="Q11" s="2" t="n"/>
      <c r="R11" s="2" t="n"/>
      <c r="S11" s="2" t="n"/>
      <c r="T11" s="2" t="n"/>
      <c r="U11" s="2" t="n"/>
      <c r="V11" s="2" t="n"/>
      <c r="W11" s="2" t="n"/>
      <c r="X11" s="2" t="n"/>
    </row>
    <row r="12" ht="19" customHeight="1">
      <c r="A12" s="67" t="inlineStr">
        <is>
          <t>Patrimonio</t>
        </is>
      </c>
      <c r="B12" s="68" t="inlineStr">
        <is>
          <t>Efectivo y equivalentes al efectivo</t>
        </is>
      </c>
      <c r="C12" s="108" t="n"/>
      <c r="D12" s="108" t="n"/>
      <c r="E12" s="108" t="n"/>
      <c r="F12" s="108" t="n"/>
      <c r="G12" s="109" t="n"/>
      <c r="H12" s="69" t="n">
        <v>36</v>
      </c>
      <c r="I12" s="65">
        <f>IF(IFERROR(INDEX(LIQUIDACION_110!$D:$D,MATCH(36,LIQUIDACION_110!$A:$A,0)),0)=0,"",IFERROR(INDEX(LIQUIDACION_110!$D:$D,MATCH(36,LIQUIDACION_110!$A:$A,0)),0))</f>
        <v/>
      </c>
      <c r="J12" s="108" t="n"/>
      <c r="K12" s="108" t="n"/>
      <c r="L12" s="109" t="n"/>
      <c r="M12" s="67" t="inlineStr">
        <is>
          <t>Renta</t>
        </is>
      </c>
      <c r="N12" s="68" t="inlineStr">
        <is>
          <t>Renta exenta</t>
        </is>
      </c>
      <c r="O12" s="108" t="n"/>
      <c r="P12" s="108" t="n"/>
      <c r="Q12" s="108" t="n"/>
      <c r="R12" s="108" t="n"/>
      <c r="S12" s="109" t="n"/>
      <c r="T12" s="69" t="n">
        <v>77</v>
      </c>
      <c r="U12" s="65">
        <f>IF(IFERROR(INDEX(LIQUIDACION_110!$D:$D,MATCH(77,LIQUIDACION_110!$A:$A,0)),0)=0,"",IFERROR(INDEX(LIQUIDACION_110!$D:$D,MATCH(77,LIQUIDACION_110!$A:$A,0)),0))</f>
        <v/>
      </c>
      <c r="V12" s="108" t="n"/>
      <c r="W12" s="108" t="n"/>
      <c r="X12" s="109" t="n"/>
    </row>
    <row r="13" ht="19" customHeight="1">
      <c r="A13" s="126" t="n"/>
      <c r="B13" s="71" t="inlineStr">
        <is>
          <t>Inversiones e instrumentos financieros derivados</t>
        </is>
      </c>
      <c r="C13" s="108" t="n"/>
      <c r="D13" s="108" t="n"/>
      <c r="E13" s="108" t="n"/>
      <c r="F13" s="108" t="n"/>
      <c r="G13" s="109" t="n"/>
      <c r="H13" s="72" t="n">
        <v>37</v>
      </c>
      <c r="I13" s="65">
        <f>IF(IFERROR(INDEX(LIQUIDACION_110!$D:$D,MATCH(37,LIQUIDACION_110!$A:$A,0)),0)=0,"",IFERROR(INDEX(LIQUIDACION_110!$D:$D,MATCH(37,LIQUIDACION_110!$A:$A,0)),0))</f>
        <v/>
      </c>
      <c r="J13" s="108" t="n"/>
      <c r="K13" s="108" t="n"/>
      <c r="L13" s="109" t="n"/>
      <c r="M13" s="126" t="n"/>
      <c r="N13" s="71" t="inlineStr">
        <is>
          <t>Rentas gravables</t>
        </is>
      </c>
      <c r="O13" s="108" t="n"/>
      <c r="P13" s="108" t="n"/>
      <c r="Q13" s="108" t="n"/>
      <c r="R13" s="108" t="n"/>
      <c r="S13" s="109" t="n"/>
      <c r="T13" s="72" t="n">
        <v>78</v>
      </c>
      <c r="U13" s="65">
        <f>IF(IFERROR(INDEX(LIQUIDACION_110!$D:$D,MATCH(78,LIQUIDACION_110!$A:$A,0)),0)=0,"",IFERROR(INDEX(LIQUIDACION_110!$D:$D,MATCH(78,LIQUIDACION_110!$A:$A,0)),0))</f>
        <v/>
      </c>
      <c r="V13" s="108" t="n"/>
      <c r="W13" s="108" t="n"/>
      <c r="X13" s="109" t="n"/>
    </row>
    <row r="14" ht="19" customHeight="1">
      <c r="A14" s="126" t="n"/>
      <c r="B14" s="68" t="inlineStr">
        <is>
          <t>Cuentas, documentos y arrendamientos financieros por cobrar</t>
        </is>
      </c>
      <c r="C14" s="108" t="n"/>
      <c r="D14" s="108" t="n"/>
      <c r="E14" s="108" t="n"/>
      <c r="F14" s="108" t="n"/>
      <c r="G14" s="109" t="n"/>
      <c r="H14" s="69" t="n">
        <v>38</v>
      </c>
      <c r="I14" s="65">
        <f>IF(IFERROR(INDEX(LIQUIDACION_110!$D:$D,MATCH(38,LIQUIDACION_110!$A:$A,0)),0)=0,"",IFERROR(INDEX(LIQUIDACION_110!$D:$D,MATCH(38,LIQUIDACION_110!$A:$A,0)),0))</f>
        <v/>
      </c>
      <c r="J14" s="108" t="n"/>
      <c r="K14" s="108" t="n"/>
      <c r="L14" s="109" t="n"/>
      <c r="M14" s="127" t="n"/>
      <c r="N14" s="74" t="inlineStr">
        <is>
          <t>Renta liquida gravable</t>
        </is>
      </c>
      <c r="O14" s="108" t="n"/>
      <c r="P14" s="108" t="n"/>
      <c r="Q14" s="108" t="n"/>
      <c r="R14" s="108" t="n"/>
      <c r="S14" s="109" t="n"/>
      <c r="T14" s="74" t="n">
        <v>79</v>
      </c>
      <c r="U14" s="75">
        <f>IF(IFERROR(INDEX(LIQUIDACION_110!$D:$D,MATCH(79,LIQUIDACION_110!$A:$A,0)),0)=0,"",IFERROR(INDEX(LIQUIDACION_110!$D:$D,MATCH(79,LIQUIDACION_110!$A:$A,0)),0))</f>
        <v/>
      </c>
      <c r="V14" s="108" t="n"/>
      <c r="W14" s="108" t="n"/>
      <c r="X14" s="109" t="n"/>
    </row>
    <row r="15" ht="19" customHeight="1">
      <c r="A15" s="126" t="n"/>
      <c r="B15" s="71" t="inlineStr">
        <is>
          <t>Inventarios</t>
        </is>
      </c>
      <c r="C15" s="108" t="n"/>
      <c r="D15" s="108" t="n"/>
      <c r="E15" s="108" t="n"/>
      <c r="F15" s="108" t="n"/>
      <c r="G15" s="109" t="n"/>
      <c r="H15" s="72" t="n">
        <v>39</v>
      </c>
      <c r="I15" s="65">
        <f>IF(IFERROR(INDEX(LIQUIDACION_110!$D:$D,MATCH(39,LIQUIDACION_110!$A:$A,0)),0)=0,"",IFERROR(INDEX(LIQUIDACION_110!$D:$D,MATCH(39,LIQUIDACION_110!$A:$A,0)),0))</f>
        <v/>
      </c>
      <c r="J15" s="108" t="n"/>
      <c r="K15" s="108" t="n"/>
      <c r="L15" s="109" t="n"/>
      <c r="M15" s="67" t="inlineStr">
        <is>
          <t>Ganancias ocasionales</t>
        </is>
      </c>
      <c r="N15" s="71" t="inlineStr">
        <is>
          <t>Ingresos por ganancias ocasionales</t>
        </is>
      </c>
      <c r="O15" s="108" t="n"/>
      <c r="P15" s="108" t="n"/>
      <c r="Q15" s="108" t="n"/>
      <c r="R15" s="108" t="n"/>
      <c r="S15" s="109" t="n"/>
      <c r="T15" s="72" t="n">
        <v>80</v>
      </c>
      <c r="U15" s="65">
        <f>IF(IFERROR(INDEX(LIQUIDACION_110!$D:$D,MATCH(80,LIQUIDACION_110!$A:$A,0)),0)=0,"",IFERROR(INDEX(LIQUIDACION_110!$D:$D,MATCH(80,LIQUIDACION_110!$A:$A,0)),0))</f>
        <v/>
      </c>
      <c r="V15" s="108" t="n"/>
      <c r="W15" s="108" t="n"/>
      <c r="X15" s="109" t="n"/>
    </row>
    <row r="16" ht="19" customHeight="1">
      <c r="A16" s="126" t="n"/>
      <c r="B16" s="68" t="inlineStr">
        <is>
          <t>Activos intangibles</t>
        </is>
      </c>
      <c r="C16" s="108" t="n"/>
      <c r="D16" s="108" t="n"/>
      <c r="E16" s="108" t="n"/>
      <c r="F16" s="108" t="n"/>
      <c r="G16" s="109" t="n"/>
      <c r="H16" s="69" t="n">
        <v>40</v>
      </c>
      <c r="I16" s="65">
        <f>IF(IFERROR(INDEX(LIQUIDACION_110!$D:$D,MATCH(40,LIQUIDACION_110!$A:$A,0)),0)=0,"",IFERROR(INDEX(LIQUIDACION_110!$D:$D,MATCH(40,LIQUIDACION_110!$A:$A,0)),0))</f>
        <v/>
      </c>
      <c r="J16" s="108" t="n"/>
      <c r="K16" s="108" t="n"/>
      <c r="L16" s="109" t="n"/>
      <c r="M16" s="126" t="n"/>
      <c r="N16" s="68" t="inlineStr">
        <is>
          <t>Costos por ganancias ocasionales</t>
        </is>
      </c>
      <c r="O16" s="108" t="n"/>
      <c r="P16" s="108" t="n"/>
      <c r="Q16" s="108" t="n"/>
      <c r="R16" s="108" t="n"/>
      <c r="S16" s="109" t="n"/>
      <c r="T16" s="69" t="n">
        <v>81</v>
      </c>
      <c r="U16" s="65">
        <f>IF(IFERROR(INDEX(LIQUIDACION_110!$D:$D,MATCH(81,LIQUIDACION_110!$A:$A,0)),0)=0,"",IFERROR(INDEX(LIQUIDACION_110!$D:$D,MATCH(81,LIQUIDACION_110!$A:$A,0)),0))</f>
        <v/>
      </c>
      <c r="V16" s="108" t="n"/>
      <c r="W16" s="108" t="n"/>
      <c r="X16" s="109" t="n"/>
    </row>
    <row r="17" ht="19" customHeight="1">
      <c r="A17" s="126" t="n"/>
      <c r="B17" s="71" t="inlineStr">
        <is>
          <t>Activos biologicos</t>
        </is>
      </c>
      <c r="C17" s="108" t="n"/>
      <c r="D17" s="108" t="n"/>
      <c r="E17" s="108" t="n"/>
      <c r="F17" s="108" t="n"/>
      <c r="G17" s="109" t="n"/>
      <c r="H17" s="72" t="n">
        <v>41</v>
      </c>
      <c r="I17" s="65">
        <f>IF(IFERROR(INDEX(LIQUIDACION_110!$D:$D,MATCH(41,LIQUIDACION_110!$A:$A,0)),0)=0,"",IFERROR(INDEX(LIQUIDACION_110!$D:$D,MATCH(41,LIQUIDACION_110!$A:$A,0)),0))</f>
        <v/>
      </c>
      <c r="J17" s="108" t="n"/>
      <c r="K17" s="108" t="n"/>
      <c r="L17" s="109" t="n"/>
      <c r="M17" s="126" t="n"/>
      <c r="N17" s="71" t="inlineStr">
        <is>
          <t>Ganancias ocasionales no gravadas y exentas</t>
        </is>
      </c>
      <c r="O17" s="108" t="n"/>
      <c r="P17" s="108" t="n"/>
      <c r="Q17" s="108" t="n"/>
      <c r="R17" s="108" t="n"/>
      <c r="S17" s="109" t="n"/>
      <c r="T17" s="72" t="n">
        <v>82</v>
      </c>
      <c r="U17" s="65">
        <f>IF(IFERROR(INDEX(LIQUIDACION_110!$D:$D,MATCH(82,LIQUIDACION_110!$A:$A,0)),0)=0,"",IFERROR(INDEX(LIQUIDACION_110!$D:$D,MATCH(82,LIQUIDACION_110!$A:$A,0)),0))</f>
        <v/>
      </c>
      <c r="V17" s="108" t="n"/>
      <c r="W17" s="108" t="n"/>
      <c r="X17" s="109" t="n"/>
    </row>
    <row r="18" ht="19" customHeight="1">
      <c r="A18" s="126" t="n"/>
      <c r="B18" s="68" t="inlineStr">
        <is>
          <t>Propiedades, planta y equipo, propiedades de inversion y ANCMV</t>
        </is>
      </c>
      <c r="C18" s="108" t="n"/>
      <c r="D18" s="108" t="n"/>
      <c r="E18" s="108" t="n"/>
      <c r="F18" s="108" t="n"/>
      <c r="G18" s="109" t="n"/>
      <c r="H18" s="69" t="n">
        <v>42</v>
      </c>
      <c r="I18" s="65">
        <f>IF(IFERROR(INDEX(LIQUIDACION_110!$D:$D,MATCH(42,LIQUIDACION_110!$A:$A,0)),0)=0,"",IFERROR(INDEX(LIQUIDACION_110!$D:$D,MATCH(42,LIQUIDACION_110!$A:$A,0)),0))</f>
        <v/>
      </c>
      <c r="J18" s="108" t="n"/>
      <c r="K18" s="108" t="n"/>
      <c r="L18" s="109" t="n"/>
      <c r="M18" s="127" t="n"/>
      <c r="N18" s="74" t="inlineStr">
        <is>
          <t>Ganancias ocasionales gravables</t>
        </is>
      </c>
      <c r="O18" s="108" t="n"/>
      <c r="P18" s="108" t="n"/>
      <c r="Q18" s="108" t="n"/>
      <c r="R18" s="108" t="n"/>
      <c r="S18" s="109" t="n"/>
      <c r="T18" s="74" t="n">
        <v>83</v>
      </c>
      <c r="U18" s="75">
        <f>IF(IFERROR(INDEX(LIQUIDACION_110!$D:$D,MATCH(83,LIQUIDACION_110!$A:$A,0)),0)=0,"",IFERROR(INDEX(LIQUIDACION_110!$D:$D,MATCH(83,LIQUIDACION_110!$A:$A,0)),0))</f>
        <v/>
      </c>
      <c r="V18" s="108" t="n"/>
      <c r="W18" s="108" t="n"/>
      <c r="X18" s="109" t="n"/>
    </row>
    <row r="19" ht="19" customHeight="1">
      <c r="A19" s="126" t="n"/>
      <c r="B19" s="71" t="inlineStr">
        <is>
          <t>Otros activos</t>
        </is>
      </c>
      <c r="C19" s="108" t="n"/>
      <c r="D19" s="108" t="n"/>
      <c r="E19" s="108" t="n"/>
      <c r="F19" s="108" t="n"/>
      <c r="G19" s="109" t="n"/>
      <c r="H19" s="72" t="n">
        <v>43</v>
      </c>
      <c r="I19" s="65">
        <f>IF(IFERROR(INDEX(LIQUIDACION_110!$D:$D,MATCH(43,LIQUIDACION_110!$A:$A,0)),0)=0,"",IFERROR(INDEX(LIQUIDACION_110!$D:$D,MATCH(43,LIQUIDACION_110!$A:$A,0)),0))</f>
        <v/>
      </c>
      <c r="J19" s="108" t="n"/>
      <c r="K19" s="108" t="n"/>
      <c r="L19" s="109" t="n"/>
      <c r="M19" s="67" t="inlineStr">
        <is>
          <t>Liquidacion privada</t>
        </is>
      </c>
      <c r="N19" s="71" t="inlineStr">
        <is>
          <t>Impuesto sobre la renta liquida gravable</t>
        </is>
      </c>
      <c r="O19" s="108" t="n"/>
      <c r="P19" s="108" t="n"/>
      <c r="Q19" s="108" t="n"/>
      <c r="R19" s="108" t="n"/>
      <c r="S19" s="109" t="n"/>
      <c r="T19" s="72" t="n">
        <v>84</v>
      </c>
      <c r="U19" s="65">
        <f>IF(IFERROR(INDEX(LIQUIDACION_110!$D:$D,MATCH(84,LIQUIDACION_110!$A:$A,0)),0)=0,"",IFERROR(INDEX(LIQUIDACION_110!$D:$D,MATCH(84,LIQUIDACION_110!$A:$A,0)),0))</f>
        <v/>
      </c>
      <c r="V19" s="108" t="n"/>
      <c r="W19" s="108" t="n"/>
      <c r="X19" s="109" t="n"/>
    </row>
    <row r="20" ht="19" customHeight="1">
      <c r="A20" s="126" t="n"/>
      <c r="B20" s="74" t="inlineStr">
        <is>
          <t>Total patrimonio bruto</t>
        </is>
      </c>
      <c r="C20" s="108" t="n"/>
      <c r="D20" s="108" t="n"/>
      <c r="E20" s="108" t="n"/>
      <c r="F20" s="108" t="n"/>
      <c r="G20" s="109" t="n"/>
      <c r="H20" s="74" t="n">
        <v>44</v>
      </c>
      <c r="I20" s="75">
        <f>IF(IFERROR(INDEX(LIQUIDACION_110!$D:$D,MATCH(44,LIQUIDACION_110!$A:$A,0)),0)=0,"",IFERROR(INDEX(LIQUIDACION_110!$D:$D,MATCH(44,LIQUIDACION_110!$A:$A,0)),0))</f>
        <v/>
      </c>
      <c r="J20" s="108" t="n"/>
      <c r="K20" s="108" t="n"/>
      <c r="L20" s="109" t="n"/>
      <c r="M20" s="126" t="n"/>
      <c r="N20" s="68" t="inlineStr">
        <is>
          <t>Puntos adicionales a la tarifa del impuesto renta</t>
        </is>
      </c>
      <c r="O20" s="108" t="n"/>
      <c r="P20" s="108" t="n"/>
      <c r="Q20" s="108" t="n"/>
      <c r="R20" s="108" t="n"/>
      <c r="S20" s="109" t="n"/>
      <c r="T20" s="69" t="n">
        <v>85</v>
      </c>
      <c r="U20" s="65">
        <f>IF(IFERROR(INDEX(LIQUIDACION_110!$D:$D,MATCH(85,LIQUIDACION_110!$A:$A,0)),0)=0,"",IFERROR(INDEX(LIQUIDACION_110!$D:$D,MATCH(85,LIQUIDACION_110!$A:$A,0)),0))</f>
        <v/>
      </c>
      <c r="V20" s="108" t="n"/>
      <c r="W20" s="108" t="n"/>
      <c r="X20" s="109" t="n"/>
    </row>
    <row r="21" ht="19" customHeight="1">
      <c r="A21" s="126" t="n"/>
      <c r="B21" s="71" t="inlineStr">
        <is>
          <t>Pasivos</t>
        </is>
      </c>
      <c r="C21" s="108" t="n"/>
      <c r="D21" s="108" t="n"/>
      <c r="E21" s="108" t="n"/>
      <c r="F21" s="108" t="n"/>
      <c r="G21" s="109" t="n"/>
      <c r="H21" s="72" t="n">
        <v>45</v>
      </c>
      <c r="I21" s="65">
        <f>IF(IFERROR(INDEX(LIQUIDACION_110!$D:$D,MATCH(45,LIQUIDACION_110!$A:$A,0)),0)=0,"",IFERROR(INDEX(LIQUIDACION_110!$D:$D,MATCH(45,LIQUIDACION_110!$A:$A,0)),0))</f>
        <v/>
      </c>
      <c r="J21" s="108" t="n"/>
      <c r="K21" s="108" t="n"/>
      <c r="L21" s="109" t="n"/>
      <c r="M21" s="126" t="n"/>
      <c r="N21" s="71" t="inlineStr">
        <is>
          <t>Impuesto sobre dividendos base casilla 54</t>
        </is>
      </c>
      <c r="O21" s="108" t="n"/>
      <c r="P21" s="108" t="n"/>
      <c r="Q21" s="108" t="n"/>
      <c r="R21" s="108" t="n"/>
      <c r="S21" s="109" t="n"/>
      <c r="T21" s="72" t="n">
        <v>86</v>
      </c>
      <c r="U21" s="65">
        <f>IF(IFERROR(INDEX(LIQUIDACION_110!$D:$D,MATCH(86,LIQUIDACION_110!$A:$A,0)),0)=0,"",IFERROR(INDEX(LIQUIDACION_110!$D:$D,MATCH(86,LIQUIDACION_110!$A:$A,0)),0))</f>
        <v/>
      </c>
      <c r="V21" s="108" t="n"/>
      <c r="W21" s="108" t="n"/>
      <c r="X21" s="109" t="n"/>
    </row>
    <row r="22" ht="19" customHeight="1">
      <c r="A22" s="127" t="n"/>
      <c r="B22" s="74" t="inlineStr">
        <is>
          <t>Total patrimonio liquido</t>
        </is>
      </c>
      <c r="C22" s="108" t="n"/>
      <c r="D22" s="108" t="n"/>
      <c r="E22" s="108" t="n"/>
      <c r="F22" s="108" t="n"/>
      <c r="G22" s="109" t="n"/>
      <c r="H22" s="74" t="n">
        <v>46</v>
      </c>
      <c r="I22" s="75">
        <f>IF(IFERROR(INDEX(LIQUIDACION_110!$D:$D,MATCH(46,LIQUIDACION_110!$A:$A,0)),0)=0,"",IFERROR(INDEX(LIQUIDACION_110!$D:$D,MATCH(46,LIQUIDACION_110!$A:$A,0)),0))</f>
        <v/>
      </c>
      <c r="J22" s="108" t="n"/>
      <c r="K22" s="108" t="n"/>
      <c r="L22" s="109" t="n"/>
      <c r="M22" s="126" t="n"/>
      <c r="N22" s="68" t="inlineStr">
        <is>
          <t>Impuesto sobre dividendos base casilla 55</t>
        </is>
      </c>
      <c r="O22" s="108" t="n"/>
      <c r="P22" s="108" t="n"/>
      <c r="Q22" s="108" t="n"/>
      <c r="R22" s="108" t="n"/>
      <c r="S22" s="109" t="n"/>
      <c r="T22" s="69" t="n">
        <v>87</v>
      </c>
      <c r="U22" s="65">
        <f>IF(IFERROR(INDEX(LIQUIDACION_110!$D:$D,MATCH(87,LIQUIDACION_110!$A:$A,0)),0)=0,"",IFERROR(INDEX(LIQUIDACION_110!$D:$D,MATCH(87,LIQUIDACION_110!$A:$A,0)),0))</f>
        <v/>
      </c>
      <c r="V22" s="108" t="n"/>
      <c r="W22" s="108" t="n"/>
      <c r="X22" s="109" t="n"/>
    </row>
    <row r="23" ht="19" customHeight="1">
      <c r="A23" s="67" t="inlineStr">
        <is>
          <t>Ingresos</t>
        </is>
      </c>
      <c r="B23" s="71" t="inlineStr">
        <is>
          <t>Ingresos brutos de actividades ordinarias</t>
        </is>
      </c>
      <c r="C23" s="108" t="n"/>
      <c r="D23" s="108" t="n"/>
      <c r="E23" s="108" t="n"/>
      <c r="F23" s="108" t="n"/>
      <c r="G23" s="109" t="n"/>
      <c r="H23" s="72" t="n">
        <v>47</v>
      </c>
      <c r="I23" s="65">
        <f>IF(IFERROR(INDEX(LIQUIDACION_110!$D:$D,MATCH(47,LIQUIDACION_110!$A:$A,0)),0)=0,"",IFERROR(INDEX(LIQUIDACION_110!$D:$D,MATCH(47,LIQUIDACION_110!$A:$A,0)),0))</f>
        <v/>
      </c>
      <c r="J23" s="108" t="n"/>
      <c r="K23" s="108" t="n"/>
      <c r="L23" s="109" t="n"/>
      <c r="M23" s="126" t="n"/>
      <c r="N23" s="71" t="inlineStr">
        <is>
          <t>Impuesto sobre dividendos base casilla 56</t>
        </is>
      </c>
      <c r="O23" s="108" t="n"/>
      <c r="P23" s="108" t="n"/>
      <c r="Q23" s="108" t="n"/>
      <c r="R23" s="108" t="n"/>
      <c r="S23" s="109" t="n"/>
      <c r="T23" s="72" t="n">
        <v>88</v>
      </c>
      <c r="U23" s="65">
        <f>IF(IFERROR(INDEX(LIQUIDACION_110!$D:$D,MATCH(88,LIQUIDACION_110!$A:$A,0)),0)=0,"",IFERROR(INDEX(LIQUIDACION_110!$D:$D,MATCH(88,LIQUIDACION_110!$A:$A,0)),0))</f>
        <v/>
      </c>
      <c r="V23" s="108" t="n"/>
      <c r="W23" s="108" t="n"/>
      <c r="X23" s="109" t="n"/>
    </row>
    <row r="24" ht="19" customHeight="1">
      <c r="A24" s="126" t="n"/>
      <c r="B24" s="68" t="inlineStr">
        <is>
          <t>Ingresos financieros</t>
        </is>
      </c>
      <c r="C24" s="108" t="n"/>
      <c r="D24" s="108" t="n"/>
      <c r="E24" s="108" t="n"/>
      <c r="F24" s="108" t="n"/>
      <c r="G24" s="109" t="n"/>
      <c r="H24" s="69" t="n">
        <v>48</v>
      </c>
      <c r="I24" s="65">
        <f>IF(IFERROR(INDEX(LIQUIDACION_110!$D:$D,MATCH(48,LIQUIDACION_110!$A:$A,0)),0)=0,"",IFERROR(INDEX(LIQUIDACION_110!$D:$D,MATCH(48,LIQUIDACION_110!$A:$A,0)),0))</f>
        <v/>
      </c>
      <c r="J24" s="108" t="n"/>
      <c r="K24" s="108" t="n"/>
      <c r="L24" s="109" t="n"/>
      <c r="M24" s="126" t="n"/>
      <c r="N24" s="68" t="inlineStr">
        <is>
          <t>Impuesto sobre dividendos base casilla 53</t>
        </is>
      </c>
      <c r="O24" s="108" t="n"/>
      <c r="P24" s="108" t="n"/>
      <c r="Q24" s="108" t="n"/>
      <c r="R24" s="108" t="n"/>
      <c r="S24" s="109" t="n"/>
      <c r="T24" s="69" t="n">
        <v>89</v>
      </c>
      <c r="U24" s="65">
        <f>IF(IFERROR(INDEX(LIQUIDACION_110!$D:$D,MATCH(89,LIQUIDACION_110!$A:$A,0)),0)=0,"",IFERROR(INDEX(LIQUIDACION_110!$D:$D,MATCH(89,LIQUIDACION_110!$A:$A,0)),0))</f>
        <v/>
      </c>
      <c r="V24" s="108" t="n"/>
      <c r="W24" s="108" t="n"/>
      <c r="X24" s="109" t="n"/>
    </row>
    <row r="25" ht="19" customHeight="1">
      <c r="A25" s="126" t="n"/>
      <c r="B25" s="76" t="inlineStr">
        <is>
          <t>Dividendos y participaciones no constitutivos de renta ni ganancia ocasional</t>
        </is>
      </c>
      <c r="C25" s="108" t="n"/>
      <c r="D25" s="108" t="n"/>
      <c r="E25" s="108" t="n"/>
      <c r="F25" s="108" t="n"/>
      <c r="G25" s="109" t="n"/>
      <c r="H25" s="72" t="n">
        <v>49</v>
      </c>
      <c r="I25" s="65">
        <f>IF(IFERROR(INDEX(LIQUIDACION_110!$D:$D,MATCH(49,LIQUIDACION_110!$A:$A,0)),0)=0,"",IFERROR(INDEX(LIQUIDACION_110!$D:$D,MATCH(49,LIQUIDACION_110!$A:$A,0)),0))</f>
        <v/>
      </c>
      <c r="J25" s="108" t="n"/>
      <c r="K25" s="108" t="n"/>
      <c r="L25" s="109" t="n"/>
      <c r="M25" s="126" t="n"/>
      <c r="N25" s="71" t="inlineStr">
        <is>
          <t>Impuesto sobre dividendos base casilla 52</t>
        </is>
      </c>
      <c r="O25" s="108" t="n"/>
      <c r="P25" s="108" t="n"/>
      <c r="Q25" s="108" t="n"/>
      <c r="R25" s="108" t="n"/>
      <c r="S25" s="109" t="n"/>
      <c r="T25" s="72" t="n">
        <v>90</v>
      </c>
      <c r="U25" s="65">
        <f>IF(IFERROR(INDEX(LIQUIDACION_110!$D:$D,MATCH(90,LIQUIDACION_110!$A:$A,0)),0)=0,"",IFERROR(INDEX(LIQUIDACION_110!$D:$D,MATCH(90,LIQUIDACION_110!$A:$A,0)),0))</f>
        <v/>
      </c>
      <c r="V25" s="108" t="n"/>
      <c r="W25" s="108" t="n"/>
      <c r="X25" s="109" t="n"/>
    </row>
    <row r="26" ht="19" customHeight="1">
      <c r="A26" s="126" t="n"/>
      <c r="B26" s="68" t="inlineStr">
        <is>
          <t>Dividendos a CHC y prima en colocacion de acciones</t>
        </is>
      </c>
      <c r="C26" s="108" t="n"/>
      <c r="D26" s="108" t="n"/>
      <c r="E26" s="108" t="n"/>
      <c r="F26" s="108" t="n"/>
      <c r="G26" s="109" t="n"/>
      <c r="H26" s="69" t="n">
        <v>50</v>
      </c>
      <c r="I26" s="65">
        <f>IF(IFERROR(INDEX(LIQUIDACION_110!$D:$D,MATCH(50,LIQUIDACION_110!$A:$A,0)),0)=0,"",IFERROR(INDEX(LIQUIDACION_110!$D:$D,MATCH(50,LIQUIDACION_110!$A:$A,0)),0))</f>
        <v/>
      </c>
      <c r="J26" s="108" t="n"/>
      <c r="K26" s="108" t="n"/>
      <c r="L26" s="109" t="n"/>
      <c r="M26" s="126" t="n"/>
      <c r="N26" s="74" t="inlineStr">
        <is>
          <t>Total impuesto sobre las rentas liquidas gravables</t>
        </is>
      </c>
      <c r="O26" s="108" t="n"/>
      <c r="P26" s="108" t="n"/>
      <c r="Q26" s="108" t="n"/>
      <c r="R26" s="108" t="n"/>
      <c r="S26" s="109" t="n"/>
      <c r="T26" s="74" t="n">
        <v>91</v>
      </c>
      <c r="U26" s="75">
        <f>IF(IFERROR(INDEX(LIQUIDACION_110!$D:$D,MATCH(91,LIQUIDACION_110!$A:$A,0)),0)=0,"",IFERROR(INDEX(LIQUIDACION_110!$D:$D,MATCH(91,LIQUIDACION_110!$A:$A,0)),0))</f>
        <v/>
      </c>
      <c r="V26" s="108" t="n"/>
      <c r="W26" s="108" t="n"/>
      <c r="X26" s="109" t="n"/>
    </row>
    <row r="27" ht="19" customHeight="1">
      <c r="A27" s="126" t="n"/>
      <c r="B27" s="76" t="inlineStr">
        <is>
          <t>Dividendos gravados a tarifa general, provenientes de sociedades nacionales o extranjeras</t>
        </is>
      </c>
      <c r="C27" s="108" t="n"/>
      <c r="D27" s="108" t="n"/>
      <c r="E27" s="108" t="n"/>
      <c r="F27" s="108" t="n"/>
      <c r="G27" s="109" t="n"/>
      <c r="H27" s="72" t="n">
        <v>51</v>
      </c>
      <c r="I27" s="65">
        <f>IF(IFERROR(INDEX(LIQUIDACION_110!$D:$D,MATCH(51,LIQUIDACION_110!$A:$A,0)),0)=0,"",IFERROR(INDEX(LIQUIDACION_110!$D:$D,MATCH(51,LIQUIDACION_110!$A:$A,0)),0))</f>
        <v/>
      </c>
      <c r="J27" s="108" t="n"/>
      <c r="K27" s="108" t="n"/>
      <c r="L27" s="109" t="n"/>
      <c r="M27" s="126" t="n"/>
      <c r="N27" s="71" t="inlineStr">
        <is>
          <t>Valor a adicionar (VAA)</t>
        </is>
      </c>
      <c r="O27" s="108" t="n"/>
      <c r="P27" s="108" t="n"/>
      <c r="Q27" s="108" t="n"/>
      <c r="R27" s="108" t="n"/>
      <c r="S27" s="109" t="n"/>
      <c r="T27" s="72" t="n">
        <v>92</v>
      </c>
      <c r="U27" s="65">
        <f>IF(IFERROR(INDEX(LIQUIDACION_110!$D:$D,MATCH(92,LIQUIDACION_110!$A:$A,0)),0)=0,"",IFERROR(INDEX(LIQUIDACION_110!$D:$D,MATCH(92,LIQUIDACION_110!$A:$A,0)),0))</f>
        <v/>
      </c>
      <c r="V27" s="108" t="n"/>
      <c r="W27" s="108" t="n"/>
      <c r="X27" s="109" t="n"/>
    </row>
    <row r="28" ht="19" customHeight="1">
      <c r="A28" s="126" t="n"/>
      <c r="B28" s="68" t="inlineStr">
        <is>
          <t>Dividendos gravados base 33% (casilla 52)</t>
        </is>
      </c>
      <c r="C28" s="108" t="n"/>
      <c r="D28" s="108" t="n"/>
      <c r="E28" s="108" t="n"/>
      <c r="F28" s="108" t="n"/>
      <c r="G28" s="109" t="n"/>
      <c r="H28" s="69" t="n">
        <v>52</v>
      </c>
      <c r="I28" s="65">
        <f>IF(IFERROR(INDEX(LIQUIDACION_110!$D:$D,MATCH(52,LIQUIDACION_110!$A:$A,0)),0)=0,"",IFERROR(INDEX(LIQUIDACION_110!$D:$D,MATCH(52,LIQUIDACION_110!$A:$A,0)),0))</f>
        <v/>
      </c>
      <c r="J28" s="108" t="n"/>
      <c r="K28" s="108" t="n"/>
      <c r="L28" s="109" t="n"/>
      <c r="M28" s="126" t="n"/>
      <c r="N28" s="68" t="inlineStr">
        <is>
          <t>Descuentos tributarios</t>
        </is>
      </c>
      <c r="O28" s="108" t="n"/>
      <c r="P28" s="108" t="n"/>
      <c r="Q28" s="108" t="n"/>
      <c r="R28" s="108" t="n"/>
      <c r="S28" s="109" t="n"/>
      <c r="T28" s="69" t="n">
        <v>93</v>
      </c>
      <c r="U28" s="65">
        <f>IF(IFERROR(INDEX(LIQUIDACION_110!$D:$D,MATCH(93,LIQUIDACION_110!$A:$A,0)),0)=0,"",IFERROR(INDEX(LIQUIDACION_110!$D:$D,MATCH(93,LIQUIDACION_110!$A:$A,0)),0))</f>
        <v/>
      </c>
      <c r="V28" s="108" t="n"/>
      <c r="W28" s="108" t="n"/>
      <c r="X28" s="109" t="n"/>
    </row>
    <row r="29" ht="19" customHeight="1">
      <c r="A29" s="126" t="n"/>
      <c r="B29" s="76" t="inlineStr">
        <is>
          <t>Dividendos gravados base art. 240 y art. 245/246 residual (casilla 53)</t>
        </is>
      </c>
      <c r="C29" s="108" t="n"/>
      <c r="D29" s="108" t="n"/>
      <c r="E29" s="108" t="n"/>
      <c r="F29" s="108" t="n"/>
      <c r="G29" s="109" t="n"/>
      <c r="H29" s="72" t="n">
        <v>53</v>
      </c>
      <c r="I29" s="65">
        <f>IF(IFERROR(INDEX(LIQUIDACION_110!$D:$D,MATCH(53,LIQUIDACION_110!$A:$A,0)),0)=0,"",IFERROR(INDEX(LIQUIDACION_110!$D:$D,MATCH(53,LIQUIDACION_110!$A:$A,0)),0))</f>
        <v/>
      </c>
      <c r="J29" s="108" t="n"/>
      <c r="K29" s="108" t="n"/>
      <c r="L29" s="109" t="n"/>
      <c r="M29" s="126" t="n"/>
      <c r="N29" s="74" t="inlineStr">
        <is>
          <t>Impuesto neto de renta (sin impuesto adicionado)</t>
        </is>
      </c>
      <c r="O29" s="108" t="n"/>
      <c r="P29" s="108" t="n"/>
      <c r="Q29" s="108" t="n"/>
      <c r="R29" s="108" t="n"/>
      <c r="S29" s="109" t="n"/>
      <c r="T29" s="74" t="n">
        <v>94</v>
      </c>
      <c r="U29" s="75">
        <f>IF(IFERROR(INDEX(LIQUIDACION_110!$D:$D,MATCH(94,LIQUIDACION_110!$A:$A,0)),0)=0,"",IFERROR(INDEX(LIQUIDACION_110!$D:$D,MATCH(94,LIQUIDACION_110!$A:$A,0)),0))</f>
        <v/>
      </c>
      <c r="V29" s="108" t="n"/>
      <c r="W29" s="108" t="n"/>
      <c r="X29" s="109" t="n"/>
    </row>
    <row r="30" ht="19" customHeight="1">
      <c r="A30" s="126" t="n"/>
      <c r="B30" s="68" t="inlineStr">
        <is>
          <t>Dividendos gravados a las tarifas de los articulos 245 o 246 E.T.</t>
        </is>
      </c>
      <c r="C30" s="108" t="n"/>
      <c r="D30" s="108" t="n"/>
      <c r="E30" s="108" t="n"/>
      <c r="F30" s="108" t="n"/>
      <c r="G30" s="109" t="n"/>
      <c r="H30" s="69" t="n">
        <v>54</v>
      </c>
      <c r="I30" s="65">
        <f>IF(IFERROR(INDEX(LIQUIDACION_110!$D:$D,MATCH(54,LIQUIDACION_110!$A:$A,0)),0)=0,"",IFERROR(INDEX(LIQUIDACION_110!$D:$D,MATCH(54,LIQUIDACION_110!$A:$A,0)),0))</f>
        <v/>
      </c>
      <c r="J30" s="108" t="n"/>
      <c r="K30" s="108" t="n"/>
      <c r="L30" s="109" t="n"/>
      <c r="M30" s="126" t="n"/>
      <c r="N30" s="68" t="inlineStr">
        <is>
          <t>Impuesto a adicionar (IA)</t>
        </is>
      </c>
      <c r="O30" s="108" t="n"/>
      <c r="P30" s="108" t="n"/>
      <c r="Q30" s="108" t="n"/>
      <c r="R30" s="108" t="n"/>
      <c r="S30" s="109" t="n"/>
      <c r="T30" s="69" t="n">
        <v>95</v>
      </c>
      <c r="U30" s="65">
        <f>IF(IFERROR(INDEX(LIQUIDACION_110!$D:$D,MATCH(95,LIQUIDACION_110!$A:$A,0)),0)=0,"",IFERROR(INDEX(LIQUIDACION_110!$D:$D,MATCH(95,LIQUIDACION_110!$A:$A,0)),0))</f>
        <v/>
      </c>
      <c r="V30" s="108" t="n"/>
      <c r="W30" s="108" t="n"/>
      <c r="X30" s="109" t="n"/>
    </row>
    <row r="31" ht="19" customHeight="1">
      <c r="A31" s="126" t="n"/>
      <c r="B31" s="71" t="inlineStr">
        <is>
          <t>Dividendos gravados a la tarifa del articulo 240 E.T.</t>
        </is>
      </c>
      <c r="C31" s="108" t="n"/>
      <c r="D31" s="108" t="n"/>
      <c r="E31" s="108" t="n"/>
      <c r="F31" s="108" t="n"/>
      <c r="G31" s="109" t="n"/>
      <c r="H31" s="72" t="n">
        <v>55</v>
      </c>
      <c r="I31" s="65">
        <f>IF(IFERROR(INDEX(LIQUIDACION_110!$D:$D,MATCH(55,LIQUIDACION_110!$A:$A,0)),0)=0,"",IFERROR(INDEX(LIQUIDACION_110!$D:$D,MATCH(55,LIQUIDACION_110!$A:$A,0)),0))</f>
        <v/>
      </c>
      <c r="J31" s="108" t="n"/>
      <c r="K31" s="108" t="n"/>
      <c r="L31" s="109" t="n"/>
      <c r="M31" s="126" t="n"/>
      <c r="N31" s="74" t="inlineStr">
        <is>
          <t>Impuesto neto de renta (con impuesto adicionado)</t>
        </is>
      </c>
      <c r="O31" s="108" t="n"/>
      <c r="P31" s="108" t="n"/>
      <c r="Q31" s="108" t="n"/>
      <c r="R31" s="108" t="n"/>
      <c r="S31" s="109" t="n"/>
      <c r="T31" s="74" t="n">
        <v>96</v>
      </c>
      <c r="U31" s="75">
        <f>IF(IFERROR(INDEX(LIQUIDACION_110!$D:$D,MATCH(96,LIQUIDACION_110!$A:$A,0)),0)=0,"",IFERROR(INDEX(LIQUIDACION_110!$D:$D,MATCH(96,LIQUIDACION_110!$A:$A,0)),0))</f>
        <v/>
      </c>
      <c r="V31" s="108" t="n"/>
      <c r="W31" s="108" t="n"/>
      <c r="X31" s="109" t="n"/>
    </row>
    <row r="32" ht="19" customHeight="1">
      <c r="A32" s="126" t="n"/>
      <c r="B32" s="77" t="inlineStr">
        <is>
          <t>Dividendos provenientes de proyectos calificados como megainversion gravados al 27%</t>
        </is>
      </c>
      <c r="C32" s="108" t="n"/>
      <c r="D32" s="108" t="n"/>
      <c r="E32" s="108" t="n"/>
      <c r="F32" s="108" t="n"/>
      <c r="G32" s="109" t="n"/>
      <c r="H32" s="69" t="n">
        <v>56</v>
      </c>
      <c r="I32" s="65">
        <f>IF(IFERROR(INDEX(LIQUIDACION_110!$D:$D,MATCH(56,LIQUIDACION_110!$A:$A,0)),0)=0,"",IFERROR(INDEX(LIQUIDACION_110!$D:$D,MATCH(56,LIQUIDACION_110!$A:$A,0)),0))</f>
        <v/>
      </c>
      <c r="J32" s="108" t="n"/>
      <c r="K32" s="108" t="n"/>
      <c r="L32" s="109" t="n"/>
      <c r="M32" s="126" t="n"/>
      <c r="N32" s="74" t="inlineStr">
        <is>
          <t>Impuesto de ganancias ocasionales</t>
        </is>
      </c>
      <c r="O32" s="108" t="n"/>
      <c r="P32" s="108" t="n"/>
      <c r="Q32" s="108" t="n"/>
      <c r="R32" s="108" t="n"/>
      <c r="S32" s="109" t="n"/>
      <c r="T32" s="74" t="n">
        <v>97</v>
      </c>
      <c r="U32" s="75">
        <f>IF(IFERROR(INDEX(LIQUIDACION_110!$D:$D,MATCH(97,LIQUIDACION_110!$A:$A,0)),0)=0,"",IFERROR(INDEX(LIQUIDACION_110!$D:$D,MATCH(97,LIQUIDACION_110!$A:$A,0)),0))</f>
        <v/>
      </c>
      <c r="V32" s="108" t="n"/>
      <c r="W32" s="108" t="n"/>
      <c r="X32" s="109" t="n"/>
    </row>
    <row r="33" ht="19" customHeight="1">
      <c r="A33" s="126" t="n"/>
      <c r="B33" s="71" t="inlineStr">
        <is>
          <t>Otros ingresos</t>
        </is>
      </c>
      <c r="C33" s="108" t="n"/>
      <c r="D33" s="108" t="n"/>
      <c r="E33" s="108" t="n"/>
      <c r="F33" s="108" t="n"/>
      <c r="G33" s="109" t="n"/>
      <c r="H33" s="72" t="n">
        <v>57</v>
      </c>
      <c r="I33" s="65">
        <f>IF(IFERROR(INDEX(LIQUIDACION_110!$D:$D,MATCH(57,LIQUIDACION_110!$A:$A,0)),0)=0,"",IFERROR(INDEX(LIQUIDACION_110!$D:$D,MATCH(57,LIQUIDACION_110!$A:$A,0)),0))</f>
        <v/>
      </c>
      <c r="J33" s="108" t="n"/>
      <c r="K33" s="108" t="n"/>
      <c r="L33" s="109" t="n"/>
      <c r="M33" s="126" t="n"/>
      <c r="N33" s="76" t="inlineStr">
        <is>
          <t>Descuento por impuestos pagados en el exterior por ganancias ocasionales</t>
        </is>
      </c>
      <c r="O33" s="108" t="n"/>
      <c r="P33" s="108" t="n"/>
      <c r="Q33" s="108" t="n"/>
      <c r="R33" s="108" t="n"/>
      <c r="S33" s="109" t="n"/>
      <c r="T33" s="72" t="n">
        <v>98</v>
      </c>
      <c r="U33" s="65">
        <f>IF(IFERROR(INDEX(LIQUIDACION_110!$D:$D,MATCH(98,LIQUIDACION_110!$A:$A,0)),0)=0,"",IFERROR(INDEX(LIQUIDACION_110!$D:$D,MATCH(98,LIQUIDACION_110!$A:$A,0)),0))</f>
        <v/>
      </c>
      <c r="V33" s="108" t="n"/>
      <c r="W33" s="108" t="n"/>
      <c r="X33" s="109" t="n"/>
    </row>
    <row r="34" ht="19" customHeight="1">
      <c r="A34" s="126" t="n"/>
      <c r="B34" s="74" t="inlineStr">
        <is>
          <t>Total ingresos brutos</t>
        </is>
      </c>
      <c r="C34" s="108" t="n"/>
      <c r="D34" s="108" t="n"/>
      <c r="E34" s="108" t="n"/>
      <c r="F34" s="108" t="n"/>
      <c r="G34" s="109" t="n"/>
      <c r="H34" s="74" t="n">
        <v>58</v>
      </c>
      <c r="I34" s="75">
        <f>IF(IFERROR(INDEX(LIQUIDACION_110!$D:$D,MATCH(58,LIQUIDACION_110!$A:$A,0)),0)=0,"",IFERROR(INDEX(LIQUIDACION_110!$D:$D,MATCH(58,LIQUIDACION_110!$A:$A,0)),0))</f>
        <v/>
      </c>
      <c r="J34" s="108" t="n"/>
      <c r="K34" s="108" t="n"/>
      <c r="L34" s="109" t="n"/>
      <c r="M34" s="126" t="n"/>
      <c r="N34" s="74" t="inlineStr">
        <is>
          <t>Total impuesto a cargo</t>
        </is>
      </c>
      <c r="O34" s="108" t="n"/>
      <c r="P34" s="108" t="n"/>
      <c r="Q34" s="108" t="n"/>
      <c r="R34" s="108" t="n"/>
      <c r="S34" s="109" t="n"/>
      <c r="T34" s="74" t="n">
        <v>99</v>
      </c>
      <c r="U34" s="75">
        <f>IF(IFERROR(INDEX(LIQUIDACION_110!$D:$D,MATCH(99,LIQUIDACION_110!$A:$A,0)),0)=0,"",IFERROR(INDEX(LIQUIDACION_110!$D:$D,MATCH(99,LIQUIDACION_110!$A:$A,0)),0))</f>
        <v/>
      </c>
      <c r="V34" s="108" t="n"/>
      <c r="W34" s="108" t="n"/>
      <c r="X34" s="109" t="n"/>
    </row>
    <row r="35" ht="19" customHeight="1">
      <c r="A35" s="126" t="n"/>
      <c r="B35" s="71" t="inlineStr">
        <is>
          <t>Devoluciones, rebajas y descuentos en ventas</t>
        </is>
      </c>
      <c r="C35" s="108" t="n"/>
      <c r="D35" s="108" t="n"/>
      <c r="E35" s="108" t="n"/>
      <c r="F35" s="108" t="n"/>
      <c r="G35" s="109" t="n"/>
      <c r="H35" s="72" t="n">
        <v>59</v>
      </c>
      <c r="I35" s="65">
        <f>IF(IFERROR(INDEX(LIQUIDACION_110!$D:$D,MATCH(59,LIQUIDACION_110!$A:$A,0)),0)=0,"",IFERROR(INDEX(LIQUIDACION_110!$D:$D,MATCH(59,LIQUIDACION_110!$A:$A,0)),0))</f>
        <v/>
      </c>
      <c r="J35" s="108" t="n"/>
      <c r="K35" s="108" t="n"/>
      <c r="L35" s="109" t="n"/>
      <c r="M35" s="126" t="n"/>
      <c r="N35" s="71" t="inlineStr">
        <is>
          <t>Valor inversion obras por impuestos modalidad de pago 1</t>
        </is>
      </c>
      <c r="O35" s="108" t="n"/>
      <c r="P35" s="108" t="n"/>
      <c r="Q35" s="108" t="n"/>
      <c r="R35" s="108" t="n"/>
      <c r="S35" s="109" t="n"/>
      <c r="T35" s="72" t="n">
        <v>100</v>
      </c>
      <c r="U35" s="65">
        <f>IF(IFERROR(INDEX(LIQUIDACION_110!$D:$D,MATCH(100,LIQUIDACION_110!$A:$A,0)),0)=0,"",IFERROR(INDEX(LIQUIDACION_110!$D:$D,MATCH(100,LIQUIDACION_110!$A:$A,0)),0))</f>
        <v/>
      </c>
      <c r="V35" s="108" t="n"/>
      <c r="W35" s="108" t="n"/>
      <c r="X35" s="109" t="n"/>
    </row>
    <row r="36" ht="19" customHeight="1">
      <c r="A36" s="126" t="n"/>
      <c r="B36" s="68" t="inlineStr">
        <is>
          <t>Ingresos no constitutivos de renta ni ganancia ocasional</t>
        </is>
      </c>
      <c r="C36" s="108" t="n"/>
      <c r="D36" s="108" t="n"/>
      <c r="E36" s="108" t="n"/>
      <c r="F36" s="108" t="n"/>
      <c r="G36" s="109" t="n"/>
      <c r="H36" s="69" t="n">
        <v>60</v>
      </c>
      <c r="I36" s="65">
        <f>IF(IFERROR(INDEX(LIQUIDACION_110!$D:$D,MATCH(60,LIQUIDACION_110!$A:$A,0)),0)=0,"",IFERROR(INDEX(LIQUIDACION_110!$D:$D,MATCH(60,LIQUIDACION_110!$A:$A,0)),0))</f>
        <v/>
      </c>
      <c r="J36" s="108" t="n"/>
      <c r="K36" s="108" t="n"/>
      <c r="L36" s="109" t="n"/>
      <c r="M36" s="126" t="n"/>
      <c r="N36" s="68" t="inlineStr">
        <is>
          <t>Descuento efectivo inversion obras por impuestos modalidad de pago 2</t>
        </is>
      </c>
      <c r="O36" s="108" t="n"/>
      <c r="P36" s="108" t="n"/>
      <c r="Q36" s="108" t="n"/>
      <c r="R36" s="108" t="n"/>
      <c r="S36" s="109" t="n"/>
      <c r="T36" s="69" t="n">
        <v>101</v>
      </c>
      <c r="U36" s="65">
        <f>IF(IFERROR(INDEX(LIQUIDACION_110!$D:$D,MATCH(101,LIQUIDACION_110!$A:$A,0)),0)=0,"",IFERROR(INDEX(LIQUIDACION_110!$D:$D,MATCH(101,LIQUIDACION_110!$A:$A,0)),0))</f>
        <v/>
      </c>
      <c r="V36" s="108" t="n"/>
      <c r="W36" s="108" t="n"/>
      <c r="X36" s="109" t="n"/>
    </row>
    <row r="37" ht="19" customHeight="1">
      <c r="A37" s="127" t="n"/>
      <c r="B37" s="74" t="inlineStr">
        <is>
          <t>Total ingresos netos</t>
        </is>
      </c>
      <c r="C37" s="108" t="n"/>
      <c r="D37" s="108" t="n"/>
      <c r="E37" s="108" t="n"/>
      <c r="F37" s="108" t="n"/>
      <c r="G37" s="109" t="n"/>
      <c r="H37" s="74" t="n">
        <v>61</v>
      </c>
      <c r="I37" s="75">
        <f>IF(IFERROR(INDEX(LIQUIDACION_110!$D:$D,MATCH(61,LIQUIDACION_110!$A:$A,0)),0)=0,"",IFERROR(INDEX(LIQUIDACION_110!$D:$D,MATCH(61,LIQUIDACION_110!$A:$A,0)),0))</f>
        <v/>
      </c>
      <c r="J37" s="108" t="n"/>
      <c r="K37" s="108" t="n"/>
      <c r="L37" s="109" t="n"/>
      <c r="M37" s="126" t="n"/>
      <c r="N37" s="71" t="inlineStr">
        <is>
          <t>Credito fiscal articulo 256-1 E.T.</t>
        </is>
      </c>
      <c r="O37" s="108" t="n"/>
      <c r="P37" s="108" t="n"/>
      <c r="Q37" s="108" t="n"/>
      <c r="R37" s="108" t="n"/>
      <c r="S37" s="109" t="n"/>
      <c r="T37" s="72" t="n">
        <v>102</v>
      </c>
      <c r="U37" s="65">
        <f>IF(IFERROR(INDEX(LIQUIDACION_110!$D:$D,MATCH(102,LIQUIDACION_110!$A:$A,0)),0)=0,"",IFERROR(INDEX(LIQUIDACION_110!$D:$D,MATCH(102,LIQUIDACION_110!$A:$A,0)),0))</f>
        <v/>
      </c>
      <c r="V37" s="108" t="n"/>
      <c r="W37" s="108" t="n"/>
      <c r="X37" s="109" t="n"/>
    </row>
    <row r="38" ht="19" customHeight="1">
      <c r="A38" s="67" t="inlineStr">
        <is>
          <t>Costos y deducciones</t>
        </is>
      </c>
      <c r="B38" s="68" t="inlineStr">
        <is>
          <t>Costos</t>
        </is>
      </c>
      <c r="C38" s="108" t="n"/>
      <c r="D38" s="108" t="n"/>
      <c r="E38" s="108" t="n"/>
      <c r="F38" s="108" t="n"/>
      <c r="G38" s="109" t="n"/>
      <c r="H38" s="69" t="n">
        <v>62</v>
      </c>
      <c r="I38" s="65">
        <f>IF(IFERROR(INDEX(LIQUIDACION_110!$D:$D,MATCH(62,LIQUIDACION_110!$A:$A,0)),0)=0,"",IFERROR(INDEX(LIQUIDACION_110!$D:$D,MATCH(62,LIQUIDACION_110!$A:$A,0)),0))</f>
        <v/>
      </c>
      <c r="J38" s="108" t="n"/>
      <c r="K38" s="108" t="n"/>
      <c r="L38" s="109" t="n"/>
      <c r="M38" s="126" t="n"/>
      <c r="N38" s="68" t="inlineStr">
        <is>
          <t>Anticipo renta liquidado ano gravable anterior</t>
        </is>
      </c>
      <c r="O38" s="108" t="n"/>
      <c r="P38" s="108" t="n"/>
      <c r="Q38" s="108" t="n"/>
      <c r="R38" s="108" t="n"/>
      <c r="S38" s="109" t="n"/>
      <c r="T38" s="69" t="n">
        <v>103</v>
      </c>
      <c r="U38" s="65">
        <f>IF(IFERROR(INDEX(LIQUIDACION_110!$D:$D,MATCH(103,LIQUIDACION_110!$A:$A,0)),0)=0,"",IFERROR(INDEX(LIQUIDACION_110!$D:$D,MATCH(103,LIQUIDACION_110!$A:$A,0)),0))</f>
        <v/>
      </c>
      <c r="V38" s="108" t="n"/>
      <c r="W38" s="108" t="n"/>
      <c r="X38" s="109" t="n"/>
    </row>
    <row r="39" ht="19" customHeight="1">
      <c r="A39" s="126" t="n"/>
      <c r="B39" s="71" t="inlineStr">
        <is>
          <t>Gastos de administracion</t>
        </is>
      </c>
      <c r="C39" s="108" t="n"/>
      <c r="D39" s="108" t="n"/>
      <c r="E39" s="108" t="n"/>
      <c r="F39" s="108" t="n"/>
      <c r="G39" s="109" t="n"/>
      <c r="H39" s="72" t="n">
        <v>63</v>
      </c>
      <c r="I39" s="65">
        <f>IF(IFERROR(INDEX(LIQUIDACION_110!$D:$D,MATCH(63,LIQUIDACION_110!$A:$A,0)),0)=0,"",IFERROR(INDEX(LIQUIDACION_110!$D:$D,MATCH(63,LIQUIDACION_110!$A:$A,0)),0))</f>
        <v/>
      </c>
      <c r="J39" s="108" t="n"/>
      <c r="K39" s="108" t="n"/>
      <c r="L39" s="109" t="n"/>
      <c r="M39" s="126" t="n"/>
      <c r="N39" s="76" t="inlineStr">
        <is>
          <t>Saldo a favor ano gravable anterior sin solicitud de devolucion o compensacion</t>
        </is>
      </c>
      <c r="O39" s="108" t="n"/>
      <c r="P39" s="108" t="n"/>
      <c r="Q39" s="108" t="n"/>
      <c r="R39" s="108" t="n"/>
      <c r="S39" s="109" t="n"/>
      <c r="T39" s="72" t="n">
        <v>104</v>
      </c>
      <c r="U39" s="65">
        <f>IF(IFERROR(INDEX(LIQUIDACION_110!$D:$D,MATCH(104,LIQUIDACION_110!$A:$A,0)),0)=0,"",IFERROR(INDEX(LIQUIDACION_110!$D:$D,MATCH(104,LIQUIDACION_110!$A:$A,0)),0))</f>
        <v/>
      </c>
      <c r="V39" s="108" t="n"/>
      <c r="W39" s="108" t="n"/>
      <c r="X39" s="109" t="n"/>
    </row>
    <row r="40" ht="19" customHeight="1">
      <c r="A40" s="126" t="n"/>
      <c r="B40" s="68" t="inlineStr">
        <is>
          <t>Gastos de distribucion y ventas</t>
        </is>
      </c>
      <c r="C40" s="108" t="n"/>
      <c r="D40" s="108" t="n"/>
      <c r="E40" s="108" t="n"/>
      <c r="F40" s="108" t="n"/>
      <c r="G40" s="109" t="n"/>
      <c r="H40" s="69" t="n">
        <v>64</v>
      </c>
      <c r="I40" s="65">
        <f>IF(IFERROR(INDEX(LIQUIDACION_110!$D:$D,MATCH(64,LIQUIDACION_110!$A:$A,0)),0)=0,"",IFERROR(INDEX(LIQUIDACION_110!$D:$D,MATCH(64,LIQUIDACION_110!$A:$A,0)),0))</f>
        <v/>
      </c>
      <c r="J40" s="108" t="n"/>
      <c r="K40" s="108" t="n"/>
      <c r="L40" s="109" t="n"/>
      <c r="M40" s="126" t="n"/>
      <c r="N40" s="68" t="inlineStr">
        <is>
          <t>Autorretenciones</t>
        </is>
      </c>
      <c r="O40" s="108" t="n"/>
      <c r="P40" s="108" t="n"/>
      <c r="Q40" s="108" t="n"/>
      <c r="R40" s="108" t="n"/>
      <c r="S40" s="109" t="n"/>
      <c r="T40" s="69" t="n">
        <v>105</v>
      </c>
      <c r="U40" s="65">
        <f>IF(IFERROR(INDEX(LIQUIDACION_110!$D:$D,MATCH(105,LIQUIDACION_110!$A:$A,0)),0)=0,"",IFERROR(INDEX(LIQUIDACION_110!$D:$D,MATCH(105,LIQUIDACION_110!$A:$A,0)),0))</f>
        <v/>
      </c>
      <c r="V40" s="108" t="n"/>
      <c r="W40" s="108" t="n"/>
      <c r="X40" s="109" t="n"/>
    </row>
    <row r="41" ht="19" customHeight="1">
      <c r="A41" s="126" t="n"/>
      <c r="B41" s="71" t="inlineStr">
        <is>
          <t>Gastos financieros</t>
        </is>
      </c>
      <c r="C41" s="108" t="n"/>
      <c r="D41" s="108" t="n"/>
      <c r="E41" s="108" t="n"/>
      <c r="F41" s="108" t="n"/>
      <c r="G41" s="109" t="n"/>
      <c r="H41" s="72" t="n">
        <v>65</v>
      </c>
      <c r="I41" s="65">
        <f>IF(IFERROR(INDEX(LIQUIDACION_110!$D:$D,MATCH(65,LIQUIDACION_110!$A:$A,0)),0)=0,"",IFERROR(INDEX(LIQUIDACION_110!$D:$D,MATCH(65,LIQUIDACION_110!$A:$A,0)),0))</f>
        <v/>
      </c>
      <c r="J41" s="108" t="n"/>
      <c r="K41" s="108" t="n"/>
      <c r="L41" s="109" t="n"/>
      <c r="M41" s="126" t="n"/>
      <c r="N41" s="71" t="inlineStr">
        <is>
          <t>Otras retenciones</t>
        </is>
      </c>
      <c r="O41" s="108" t="n"/>
      <c r="P41" s="108" t="n"/>
      <c r="Q41" s="108" t="n"/>
      <c r="R41" s="108" t="n"/>
      <c r="S41" s="109" t="n"/>
      <c r="T41" s="72" t="n">
        <v>106</v>
      </c>
      <c r="U41" s="65">
        <f>IF(IFERROR(INDEX(LIQUIDACION_110!$D:$D,MATCH(106,LIQUIDACION_110!$A:$A,0)),0)=0,"",IFERROR(INDEX(LIQUIDACION_110!$D:$D,MATCH(106,LIQUIDACION_110!$A:$A,0)),0))</f>
        <v/>
      </c>
      <c r="V41" s="108" t="n"/>
      <c r="W41" s="108" t="n"/>
      <c r="X41" s="109" t="n"/>
    </row>
    <row r="42" ht="19" customHeight="1">
      <c r="A42" s="126" t="n"/>
      <c r="B42" s="68" t="inlineStr">
        <is>
          <t>Otros gastos y deducciones</t>
        </is>
      </c>
      <c r="C42" s="108" t="n"/>
      <c r="D42" s="108" t="n"/>
      <c r="E42" s="108" t="n"/>
      <c r="F42" s="108" t="n"/>
      <c r="G42" s="109" t="n"/>
      <c r="H42" s="69" t="n">
        <v>66</v>
      </c>
      <c r="I42" s="65">
        <f>IF(IFERROR(INDEX(LIQUIDACION_110!$D:$D,MATCH(66,LIQUIDACION_110!$A:$A,0)),0)=0,"",IFERROR(INDEX(LIQUIDACION_110!$D:$D,MATCH(66,LIQUIDACION_110!$A:$A,0)),0))</f>
        <v/>
      </c>
      <c r="J42" s="108" t="n"/>
      <c r="K42" s="108" t="n"/>
      <c r="L42" s="109" t="n"/>
      <c r="M42" s="126" t="n"/>
      <c r="N42" s="74" t="inlineStr">
        <is>
          <t>Total retenciones ano gravable a declarar</t>
        </is>
      </c>
      <c r="O42" s="108" t="n"/>
      <c r="P42" s="108" t="n"/>
      <c r="Q42" s="108" t="n"/>
      <c r="R42" s="108" t="n"/>
      <c r="S42" s="109" t="n"/>
      <c r="T42" s="74" t="n">
        <v>107</v>
      </c>
      <c r="U42" s="75">
        <f>IF(IFERROR(INDEX(LIQUIDACION_110!$D:$D,MATCH(107,LIQUIDACION_110!$A:$A,0)),0)=0,"",IFERROR(INDEX(LIQUIDACION_110!$D:$D,MATCH(107,LIQUIDACION_110!$A:$A,0)),0))</f>
        <v/>
      </c>
      <c r="V42" s="108" t="n"/>
      <c r="W42" s="108" t="n"/>
      <c r="X42" s="109" t="n"/>
    </row>
    <row r="43" ht="19" customHeight="1">
      <c r="A43" s="126" t="n"/>
      <c r="B43" s="74" t="inlineStr">
        <is>
          <t>Total costos y gastos deducibles</t>
        </is>
      </c>
      <c r="C43" s="108" t="n"/>
      <c r="D43" s="108" t="n"/>
      <c r="E43" s="108" t="n"/>
      <c r="F43" s="108" t="n"/>
      <c r="G43" s="109" t="n"/>
      <c r="H43" s="74" t="n">
        <v>67</v>
      </c>
      <c r="I43" s="75">
        <f>IF(IFERROR(INDEX(LIQUIDACION_110!$D:$D,MATCH(67,LIQUIDACION_110!$A:$A,0)),0)=0,"",IFERROR(INDEX(LIQUIDACION_110!$D:$D,MATCH(67,LIQUIDACION_110!$A:$A,0)),0))</f>
        <v/>
      </c>
      <c r="J43" s="108" t="n"/>
      <c r="K43" s="108" t="n"/>
      <c r="L43" s="109" t="n"/>
      <c r="M43" s="126" t="n"/>
      <c r="N43" s="71" t="inlineStr">
        <is>
          <t>Anticipo renta para el ano gravable siguiente</t>
        </is>
      </c>
      <c r="O43" s="108" t="n"/>
      <c r="P43" s="108" t="n"/>
      <c r="Q43" s="108" t="n"/>
      <c r="R43" s="108" t="n"/>
      <c r="S43" s="109" t="n"/>
      <c r="T43" s="72" t="n">
        <v>108</v>
      </c>
      <c r="U43" s="65">
        <f>IF(IFERROR(INDEX(LIQUIDACION_110!$D:$D,MATCH(108,LIQUIDACION_110!$A:$A,0)),0)=0,"",IFERROR(INDEX(LIQUIDACION_110!$D:$D,MATCH(108,LIQUIDACION_110!$A:$A,0)),0))</f>
        <v/>
      </c>
      <c r="V43" s="108" t="n"/>
      <c r="W43" s="108" t="n"/>
      <c r="X43" s="109" t="n"/>
    </row>
    <row r="44" ht="19" customHeight="1">
      <c r="A44" s="126" t="n"/>
      <c r="B44" s="68" t="inlineStr">
        <is>
          <t>Inversiones efectuadas en el ano (ESAL / RTE)</t>
        </is>
      </c>
      <c r="C44" s="108" t="n"/>
      <c r="D44" s="108" t="n"/>
      <c r="E44" s="108" t="n"/>
      <c r="F44" s="108" t="n"/>
      <c r="G44" s="109" t="n"/>
      <c r="H44" s="69" t="n">
        <v>68</v>
      </c>
      <c r="I44" s="65">
        <f>IF(IFERROR(INDEX(LIQUIDACION_110!$D:$D,MATCH(68,LIQUIDACION_110!$A:$A,0)),0)=0,"",IFERROR(INDEX(LIQUIDACION_110!$D:$D,MATCH(68,LIQUIDACION_110!$A:$A,0)),0))</f>
        <v/>
      </c>
      <c r="J44" s="108" t="n"/>
      <c r="K44" s="108" t="n"/>
      <c r="L44" s="109" t="n"/>
      <c r="M44" s="126" t="n"/>
      <c r="N44" s="68" t="inlineStr">
        <is>
          <t>Anticipo puntos adicionales ano gravable anterior</t>
        </is>
      </c>
      <c r="O44" s="108" t="n"/>
      <c r="P44" s="108" t="n"/>
      <c r="Q44" s="108" t="n"/>
      <c r="R44" s="108" t="n"/>
      <c r="S44" s="109" t="n"/>
      <c r="T44" s="69" t="n">
        <v>109</v>
      </c>
      <c r="U44" s="65">
        <f>IF(IFERROR(INDEX(LIQUIDACION_110!$D:$D,MATCH(109,LIQUIDACION_110!$A:$A,0)),0)=0,"",IFERROR(INDEX(LIQUIDACION_110!$D:$D,MATCH(109,LIQUIDACION_110!$A:$A,0)),0))</f>
        <v/>
      </c>
      <c r="V44" s="108" t="n"/>
      <c r="W44" s="108" t="n"/>
      <c r="X44" s="109" t="n"/>
    </row>
    <row r="45" ht="19" customHeight="1">
      <c r="A45" s="127" t="n"/>
      <c r="B45" s="71" t="inlineStr">
        <is>
          <t>Inversiones liquidadas de periodos gravables anteriores</t>
        </is>
      </c>
      <c r="C45" s="108" t="n"/>
      <c r="D45" s="108" t="n"/>
      <c r="E45" s="108" t="n"/>
      <c r="F45" s="108" t="n"/>
      <c r="G45" s="109" t="n"/>
      <c r="H45" s="72" t="n">
        <v>69</v>
      </c>
      <c r="I45" s="65">
        <f>IF(IFERROR(INDEX(LIQUIDACION_110!$D:$D,MATCH(69,LIQUIDACION_110!$A:$A,0)),0)=0,"",IFERROR(INDEX(LIQUIDACION_110!$D:$D,MATCH(69,LIQUIDACION_110!$A:$A,0)),0))</f>
        <v/>
      </c>
      <c r="J45" s="108" t="n"/>
      <c r="K45" s="108" t="n"/>
      <c r="L45" s="109" t="n"/>
      <c r="M45" s="126" t="n"/>
      <c r="N45" s="71" t="inlineStr">
        <is>
          <t>Anticipo puntos adicionales ano gravable siguiente</t>
        </is>
      </c>
      <c r="O45" s="108" t="n"/>
      <c r="P45" s="108" t="n"/>
      <c r="Q45" s="108" t="n"/>
      <c r="R45" s="108" t="n"/>
      <c r="S45" s="109" t="n"/>
      <c r="T45" s="72" t="n">
        <v>110</v>
      </c>
      <c r="U45" s="65">
        <f>IF(IFERROR(INDEX(LIQUIDACION_110!$D:$D,MATCH(110,LIQUIDACION_110!$A:$A,0)),0)=0,"",IFERROR(INDEX(LIQUIDACION_110!$D:$D,MATCH(110,LIQUIDACION_110!$A:$A,0)),0))</f>
        <v/>
      </c>
      <c r="V45" s="108" t="n"/>
      <c r="W45" s="108" t="n"/>
      <c r="X45" s="109" t="n"/>
    </row>
    <row r="46" ht="19" customHeight="1">
      <c r="A46" s="67" t="inlineStr">
        <is>
          <t>Renta</t>
        </is>
      </c>
      <c r="B46" s="68" t="inlineStr">
        <is>
          <t>Renta por recuperacion de deducciones</t>
        </is>
      </c>
      <c r="C46" s="108" t="n"/>
      <c r="D46" s="108" t="n"/>
      <c r="E46" s="108" t="n"/>
      <c r="F46" s="108" t="n"/>
      <c r="G46" s="109" t="n"/>
      <c r="H46" s="69" t="n">
        <v>70</v>
      </c>
      <c r="I46" s="65">
        <f>IF(IFERROR(INDEX(LIQUIDACION_110!$D:$D,MATCH(70,LIQUIDACION_110!$A:$A,0)),0)=0,"",IFERROR(INDEX(LIQUIDACION_110!$D:$D,MATCH(70,LIQUIDACION_110!$A:$A,0)),0))</f>
        <v/>
      </c>
      <c r="J46" s="108" t="n"/>
      <c r="K46" s="108" t="n"/>
      <c r="L46" s="109" t="n"/>
      <c r="M46" s="126" t="n"/>
      <c r="N46" s="74" t="inlineStr">
        <is>
          <t>Saldo a pagar por impuesto</t>
        </is>
      </c>
      <c r="O46" s="108" t="n"/>
      <c r="P46" s="108" t="n"/>
      <c r="Q46" s="108" t="n"/>
      <c r="R46" s="108" t="n"/>
      <c r="S46" s="109" t="n"/>
      <c r="T46" s="74" t="n">
        <v>111</v>
      </c>
      <c r="U46" s="75">
        <f>IF(IFERROR(INDEX(LIQUIDACION_110!$D:$D,MATCH(111,LIQUIDACION_110!$A:$A,0)),0)=0,"",IFERROR(INDEX(LIQUIDACION_110!$D:$D,MATCH(111,LIQUIDACION_110!$A:$A,0)),0))</f>
        <v/>
      </c>
      <c r="V46" s="108" t="n"/>
      <c r="W46" s="108" t="n"/>
      <c r="X46" s="109" t="n"/>
    </row>
    <row r="47" ht="19" customHeight="1">
      <c r="A47" s="126" t="n"/>
      <c r="B47" s="71" t="inlineStr">
        <is>
          <t>Renta pasiva - ECE sin residencia fiscal en Colombia</t>
        </is>
      </c>
      <c r="C47" s="108" t="n"/>
      <c r="D47" s="108" t="n"/>
      <c r="E47" s="108" t="n"/>
      <c r="F47" s="108" t="n"/>
      <c r="G47" s="109" t="n"/>
      <c r="H47" s="72" t="n">
        <v>71</v>
      </c>
      <c r="I47" s="65">
        <f>IF(IFERROR(INDEX(LIQUIDACION_110!$D:$D,MATCH(71,LIQUIDACION_110!$A:$A,0)),0)=0,"",IFERROR(INDEX(LIQUIDACION_110!$D:$D,MATCH(71,LIQUIDACION_110!$A:$A,0)),0))</f>
        <v/>
      </c>
      <c r="J47" s="108" t="n"/>
      <c r="K47" s="108" t="n"/>
      <c r="L47" s="109" t="n"/>
      <c r="M47" s="126" t="n"/>
      <c r="N47" s="71" t="inlineStr">
        <is>
          <t>Sanciones</t>
        </is>
      </c>
      <c r="O47" s="108" t="n"/>
      <c r="P47" s="108" t="n"/>
      <c r="Q47" s="108" t="n"/>
      <c r="R47" s="108" t="n"/>
      <c r="S47" s="109" t="n"/>
      <c r="T47" s="72" t="n">
        <v>112</v>
      </c>
      <c r="U47" s="65">
        <f>IF(IFERROR(INDEX(LIQUIDACION_110!$D:$D,MATCH(112,LIQUIDACION_110!$A:$A,0)),0)=0,"",IFERROR(INDEX(LIQUIDACION_110!$D:$D,MATCH(112,LIQUIDACION_110!$A:$A,0)),0))</f>
        <v/>
      </c>
      <c r="V47" s="108" t="n"/>
      <c r="W47" s="108" t="n"/>
      <c r="X47" s="109" t="n"/>
    </row>
    <row r="48" ht="19" customHeight="1">
      <c r="A48" s="126" t="n"/>
      <c r="B48" s="74" t="inlineStr">
        <is>
          <t>Renta liquida ordinaria del ejercicio</t>
        </is>
      </c>
      <c r="C48" s="108" t="n"/>
      <c r="D48" s="108" t="n"/>
      <c r="E48" s="108" t="n"/>
      <c r="F48" s="108" t="n"/>
      <c r="G48" s="109" t="n"/>
      <c r="H48" s="74" t="n">
        <v>72</v>
      </c>
      <c r="I48" s="75">
        <f>IF(IFERROR(INDEX(LIQUIDACION_110!$D:$D,MATCH(72,LIQUIDACION_110!$A:$A,0)),0)=0,"",IFERROR(INDEX(LIQUIDACION_110!$D:$D,MATCH(72,LIQUIDACION_110!$A:$A,0)),0))</f>
        <v/>
      </c>
      <c r="J48" s="108" t="n"/>
      <c r="K48" s="108" t="n"/>
      <c r="L48" s="109" t="n"/>
      <c r="M48" s="126" t="n"/>
      <c r="N48" s="74" t="inlineStr">
        <is>
          <t>Total saldo a pagar</t>
        </is>
      </c>
      <c r="O48" s="108" t="n"/>
      <c r="P48" s="108" t="n"/>
      <c r="Q48" s="108" t="n"/>
      <c r="R48" s="108" t="n"/>
      <c r="S48" s="109" t="n"/>
      <c r="T48" s="74" t="n">
        <v>113</v>
      </c>
      <c r="U48" s="75">
        <f>IF(IFERROR(INDEX(LIQUIDACION_110!$D:$D,MATCH(113,LIQUIDACION_110!$A:$A,0)),0)=0,"",IFERROR(INDEX(LIQUIDACION_110!$D:$D,MATCH(113,LIQUIDACION_110!$A:$A,0)),0))</f>
        <v/>
      </c>
      <c r="V48" s="108" t="n"/>
      <c r="W48" s="108" t="n"/>
      <c r="X48" s="109" t="n"/>
    </row>
    <row r="49" ht="19" customHeight="1">
      <c r="A49" s="126" t="n"/>
      <c r="B49" s="74" t="inlineStr">
        <is>
          <t>Perdida liquida del ejercicio</t>
        </is>
      </c>
      <c r="C49" s="108" t="n"/>
      <c r="D49" s="108" t="n"/>
      <c r="E49" s="108" t="n"/>
      <c r="F49" s="108" t="n"/>
      <c r="G49" s="109" t="n"/>
      <c r="H49" s="74" t="n">
        <v>73</v>
      </c>
      <c r="I49" s="75">
        <f>IF(IFERROR(INDEX(LIQUIDACION_110!$D:$D,MATCH(73,LIQUIDACION_110!$A:$A,0)),0)=0,"",IFERROR(INDEX(LIQUIDACION_110!$D:$D,MATCH(73,LIQUIDACION_110!$A:$A,0)),0))</f>
        <v/>
      </c>
      <c r="J49" s="108" t="n"/>
      <c r="K49" s="108" t="n"/>
      <c r="L49" s="109" t="n"/>
      <c r="M49" s="126" t="n"/>
      <c r="N49" s="74" t="inlineStr">
        <is>
          <t>Total saldo a favor</t>
        </is>
      </c>
      <c r="O49" s="108" t="n"/>
      <c r="P49" s="108" t="n"/>
      <c r="Q49" s="108" t="n"/>
      <c r="R49" s="108" t="n"/>
      <c r="S49" s="109" t="n"/>
      <c r="T49" s="74" t="n">
        <v>114</v>
      </c>
      <c r="U49" s="75">
        <f>IF(IFERROR(INDEX(LIQUIDACION_110!$D:$D,MATCH(114,LIQUIDACION_110!$A:$A,0)),0)=0,"",IFERROR(INDEX(LIQUIDACION_110!$D:$D,MATCH(114,LIQUIDACION_110!$A:$A,0)),0))</f>
        <v/>
      </c>
      <c r="V49" s="108" t="n"/>
      <c r="W49" s="108" t="n"/>
      <c r="X49" s="109" t="n"/>
    </row>
    <row r="50" ht="19" customHeight="1">
      <c r="A50" s="126" t="n"/>
      <c r="B50" s="68" t="inlineStr">
        <is>
          <t>Compensaciones</t>
        </is>
      </c>
      <c r="C50" s="108" t="n"/>
      <c r="D50" s="108" t="n"/>
      <c r="E50" s="108" t="n"/>
      <c r="F50" s="108" t="n"/>
      <c r="G50" s="109" t="n"/>
      <c r="H50" s="69" t="n">
        <v>74</v>
      </c>
      <c r="I50" s="65">
        <f>IF(IFERROR(INDEX(LIQUIDACION_110!$D:$D,MATCH(74,LIQUIDACION_110!$A:$A,0)),0)=0,"",IFERROR(INDEX(LIQUIDACION_110!$D:$D,MATCH(74,LIQUIDACION_110!$A:$A,0)),0))</f>
        <v/>
      </c>
      <c r="J50" s="108" t="n"/>
      <c r="K50" s="108" t="n"/>
      <c r="L50" s="109" t="n"/>
      <c r="M50" s="126" t="n"/>
      <c r="N50" s="68" t="inlineStr">
        <is>
          <t>Valor impuesto exigible por obras por impuestos modalidad 1</t>
        </is>
      </c>
      <c r="O50" s="108" t="n"/>
      <c r="P50" s="108" t="n"/>
      <c r="Q50" s="108" t="n"/>
      <c r="R50" s="108" t="n"/>
      <c r="S50" s="109" t="n"/>
      <c r="T50" s="69" t="n">
        <v>115</v>
      </c>
      <c r="U50" s="65">
        <f>IF(IFERROR(INDEX(LIQUIDACION_110!$D:$D,MATCH(115,LIQUIDACION_110!$A:$A,0)),0)=0,"",IFERROR(INDEX(LIQUIDACION_110!$D:$D,MATCH(115,LIQUIDACION_110!$A:$A,0)),0))</f>
        <v/>
      </c>
      <c r="V50" s="108" t="n"/>
      <c r="W50" s="108" t="n"/>
      <c r="X50" s="109" t="n"/>
    </row>
    <row r="51" ht="19" customHeight="1">
      <c r="A51" s="126" t="n"/>
      <c r="B51" s="74" t="inlineStr">
        <is>
          <t>Renta liquida</t>
        </is>
      </c>
      <c r="C51" s="108" t="n"/>
      <c r="D51" s="108" t="n"/>
      <c r="E51" s="108" t="n"/>
      <c r="F51" s="108" t="n"/>
      <c r="G51" s="109" t="n"/>
      <c r="H51" s="74" t="n">
        <v>75</v>
      </c>
      <c r="I51" s="75">
        <f>IF(IFERROR(INDEX(LIQUIDACION_110!$D:$D,MATCH(75,LIQUIDACION_110!$A:$A,0)),0)=0,"",IFERROR(INDEX(LIQUIDACION_110!$D:$D,MATCH(75,LIQUIDACION_110!$A:$A,0)),0))</f>
        <v/>
      </c>
      <c r="J51" s="108" t="n"/>
      <c r="K51" s="108" t="n"/>
      <c r="L51" s="109" t="n"/>
      <c r="M51" s="126" t="n"/>
      <c r="N51" s="71" t="inlineStr">
        <is>
          <t>Valor total proyecto obras por impuestos modalidad 2</t>
        </is>
      </c>
      <c r="O51" s="108" t="n"/>
      <c r="P51" s="108" t="n"/>
      <c r="Q51" s="108" t="n"/>
      <c r="R51" s="108" t="n"/>
      <c r="S51" s="109" t="n"/>
      <c r="T51" s="72" t="n">
        <v>116</v>
      </c>
      <c r="U51" s="65">
        <f>IF(IFERROR(INDEX(LIQUIDACION_110!$D:$D,MATCH(116,LIQUIDACION_110!$A:$A,0)),0)=0,"",IFERROR(INDEX(LIQUIDACION_110!$D:$D,MATCH(116,LIQUIDACION_110!$A:$A,0)),0))</f>
        <v/>
      </c>
      <c r="V51" s="108" t="n"/>
      <c r="W51" s="108" t="n"/>
      <c r="X51" s="109" t="n"/>
    </row>
    <row r="52" ht="19" customHeight="1">
      <c r="A52" s="127" t="n"/>
      <c r="B52" s="68" t="inlineStr">
        <is>
          <t>Renta presuntiva</t>
        </is>
      </c>
      <c r="C52" s="108" t="n"/>
      <c r="D52" s="108" t="n"/>
      <c r="E52" s="108" t="n"/>
      <c r="F52" s="108" t="n"/>
      <c r="G52" s="109" t="n"/>
      <c r="H52" s="69" t="n">
        <v>76</v>
      </c>
      <c r="I52" s="65">
        <f>IF(IFERROR(INDEX(LIQUIDACION_110!$D:$D,MATCH(76,LIQUIDACION_110!$A:$A,0)),0)=0,"",IFERROR(INDEX(LIQUIDACION_110!$D:$D,MATCH(76,LIQUIDACION_110!$A:$A,0)),0))</f>
        <v/>
      </c>
      <c r="J52" s="108" t="n"/>
      <c r="K52" s="108" t="n"/>
      <c r="L52" s="109" t="n"/>
      <c r="M52" s="127" t="n"/>
      <c r="N52" s="68" t="inlineStr">
        <is>
          <t>Aporte voluntario Art. 244-1 E.T.</t>
        </is>
      </c>
      <c r="O52" s="108" t="n"/>
      <c r="P52" s="108" t="n"/>
      <c r="Q52" s="108" t="n"/>
      <c r="R52" s="108" t="n"/>
      <c r="S52" s="109" t="n"/>
      <c r="T52" s="69" t="n">
        <v>117</v>
      </c>
      <c r="U52" s="65">
        <f>IF(IFERROR(INDEX(LIQUIDACION_110!$D:$D,MATCH(117,LIQUIDACION_110!$A:$A,0)),0)=0,"",IFERROR(INDEX(LIQUIDACION_110!$D:$D,MATCH(117,LIQUIDACION_110!$A:$A,0)),0))</f>
        <v/>
      </c>
      <c r="V52" s="108" t="n"/>
      <c r="W52" s="108" t="n"/>
      <c r="X52" s="109" t="n"/>
    </row>
    <row r="53" ht="19" customHeight="1">
      <c r="A53" s="2" t="n"/>
      <c r="B53" s="2" t="n"/>
      <c r="C53" s="2" t="n"/>
      <c r="D53" s="2" t="n"/>
      <c r="E53" s="2" t="n"/>
      <c r="F53" s="2" t="n"/>
      <c r="G53" s="2" t="n"/>
      <c r="H53" s="2" t="n"/>
      <c r="I53" s="2" t="n"/>
      <c r="J53" s="2" t="n"/>
      <c r="K53" s="2" t="n"/>
      <c r="L53" s="2" t="n"/>
      <c r="M53" s="2" t="n"/>
      <c r="N53" s="2" t="n"/>
      <c r="O53" s="2" t="n"/>
      <c r="P53" s="2" t="n"/>
      <c r="Q53" s="2" t="n"/>
      <c r="R53" s="2" t="n"/>
      <c r="S53" s="2" t="n"/>
      <c r="T53" s="2" t="n"/>
      <c r="U53" s="2" t="n"/>
      <c r="V53" s="2" t="n"/>
      <c r="W53" s="2" t="n"/>
      <c r="X53" s="2" t="n"/>
    </row>
    <row r="54" ht="19" customHeight="1">
      <c r="A54" s="2" t="n"/>
      <c r="B54" s="8" t="inlineStr">
        <is>
          <t>981. Cod. Representacion</t>
        </is>
      </c>
      <c r="C54" s="108" t="n"/>
      <c r="D54" s="108" t="n"/>
      <c r="E54" s="109" t="n"/>
      <c r="F54" s="71" t="inlineStr"/>
      <c r="G54" s="109" t="n"/>
      <c r="H54" s="2" t="n"/>
      <c r="I54" s="2" t="n"/>
      <c r="J54" s="2" t="n"/>
      <c r="K54" s="2" t="n"/>
      <c r="L54" s="2" t="n"/>
      <c r="M54" s="78" t="inlineStr">
        <is>
          <t>997. Espacio exclusivo para el sello de la entidad recaudadora</t>
        </is>
      </c>
      <c r="N54" s="124" t="n"/>
      <c r="O54" s="124" t="n"/>
      <c r="P54" s="124" t="n"/>
      <c r="Q54" s="117" t="n"/>
      <c r="R54" s="29" t="inlineStr">
        <is>
          <t>980. Pago total $</t>
        </is>
      </c>
      <c r="S54" s="124" t="n"/>
      <c r="T54" s="117" t="n"/>
      <c r="U54" s="79">
        <f>IF(IFERROR(INDEX(LIQUIDACION_110!$D:$D,MATCH(980,LIQUIDACION_110!$A:$A,0)),0)=0,"",IFERROR(INDEX(LIQUIDACION_110!$D:$D,MATCH(980,LIQUIDACION_110!$A:$A,0)),0))</f>
        <v/>
      </c>
      <c r="V54" s="124" t="n"/>
      <c r="W54" s="124" t="n"/>
      <c r="X54" s="117" t="n"/>
    </row>
    <row r="55" ht="19" customHeight="1">
      <c r="A55" s="2" t="n"/>
      <c r="B55" s="71" t="inlineStr">
        <is>
          <t>Firma del declarante o de quien lo representa</t>
        </is>
      </c>
      <c r="C55" s="108" t="n"/>
      <c r="D55" s="108" t="n"/>
      <c r="E55" s="108" t="n"/>
      <c r="F55" s="108" t="n"/>
      <c r="G55" s="108" t="n"/>
      <c r="H55" s="108" t="n"/>
      <c r="I55" s="108" t="n"/>
      <c r="J55" s="108" t="n"/>
      <c r="K55" s="108" t="n"/>
      <c r="L55" s="109" t="n"/>
      <c r="M55" s="118" t="n"/>
      <c r="Q55" s="119" t="n"/>
      <c r="R55" s="118" t="n"/>
      <c r="T55" s="119" t="n"/>
      <c r="U55" s="118" t="n"/>
      <c r="X55" s="119" t="n"/>
    </row>
    <row r="56" ht="19" customHeight="1">
      <c r="A56" s="2" t="n"/>
      <c r="B56" s="64" t="inlineStr">
        <is>
          <t>982. Codigo Contador o Revisor Fiscal</t>
        </is>
      </c>
      <c r="C56" s="108" t="n"/>
      <c r="D56" s="108" t="n"/>
      <c r="E56" s="108" t="n"/>
      <c r="F56" s="109" t="n"/>
      <c r="G56" s="71" t="inlineStr"/>
      <c r="H56" s="109" t="n"/>
      <c r="I56" s="64" t="inlineStr">
        <is>
          <t>994. Con salvedades</t>
        </is>
      </c>
      <c r="J56" s="108" t="n"/>
      <c r="K56" s="109" t="n"/>
      <c r="L56" s="71" t="inlineStr"/>
      <c r="M56" s="118" t="n"/>
      <c r="Q56" s="119" t="n"/>
      <c r="R56" s="120" t="n"/>
      <c r="S56" s="125" t="n"/>
      <c r="T56" s="121" t="n"/>
      <c r="U56" s="120" t="n"/>
      <c r="V56" s="125" t="n"/>
      <c r="W56" s="125" t="n"/>
      <c r="X56" s="121" t="n"/>
    </row>
    <row r="57" ht="19" customHeight="1">
      <c r="A57" s="2" t="n"/>
      <c r="B57" s="71" t="inlineStr">
        <is>
          <t>Firma Contador o Revisor Fiscal</t>
        </is>
      </c>
      <c r="C57" s="108" t="n"/>
      <c r="D57" s="108" t="n"/>
      <c r="E57" s="108" t="n"/>
      <c r="F57" s="108" t="n"/>
      <c r="G57" s="108" t="n"/>
      <c r="H57" s="108" t="n"/>
      <c r="I57" s="108" t="n"/>
      <c r="J57" s="108" t="n"/>
      <c r="K57" s="108" t="n"/>
      <c r="L57" s="109" t="n"/>
      <c r="M57" s="118" t="n"/>
      <c r="Q57" s="119" t="n"/>
      <c r="R57" s="80" t="inlineStr">
        <is>
          <t>Formulario visual de trabajo. Verifica siempre LIQUIDACION_110, VALIDACIONES y soportes antes de usarlo.</t>
        </is>
      </c>
      <c r="S57" s="124" t="n"/>
      <c r="T57" s="124" t="n"/>
      <c r="U57" s="124" t="n"/>
      <c r="V57" s="124" t="n"/>
      <c r="W57" s="124" t="n"/>
      <c r="X57" s="117" t="n"/>
    </row>
    <row r="58" ht="19" customHeight="1">
      <c r="A58" s="2" t="n"/>
      <c r="B58" s="64" t="inlineStr">
        <is>
          <t>983. No. Tarjeta profesional</t>
        </is>
      </c>
      <c r="C58" s="108" t="n"/>
      <c r="D58" s="108" t="n"/>
      <c r="E58" s="109" t="n"/>
      <c r="F58" s="71" t="inlineStr"/>
      <c r="G58" s="108" t="n"/>
      <c r="H58" s="109" t="n"/>
      <c r="I58" s="2" t="n"/>
      <c r="J58" s="2" t="n"/>
      <c r="K58" s="2" t="n"/>
      <c r="L58" s="2" t="n"/>
      <c r="M58" s="120" t="n"/>
      <c r="N58" s="125" t="n"/>
      <c r="O58" s="125" t="n"/>
      <c r="P58" s="125" t="n"/>
      <c r="Q58" s="121" t="n"/>
      <c r="R58" s="120" t="n"/>
      <c r="S58" s="125" t="n"/>
      <c r="T58" s="125" t="n"/>
      <c r="U58" s="125" t="n"/>
      <c r="V58" s="125" t="n"/>
      <c r="W58" s="125" t="n"/>
      <c r="X58" s="121" t="n"/>
    </row>
  </sheetData>
  <mergeCells count="217">
    <mergeCell ref="F1:S3"/>
    <mergeCell ref="I14:L14"/>
    <mergeCell ref="Q7:R7"/>
    <mergeCell ref="I48:L48"/>
    <mergeCell ref="M12:M14"/>
    <mergeCell ref="U52:X52"/>
    <mergeCell ref="I8:R8"/>
    <mergeCell ref="U39:X39"/>
    <mergeCell ref="N23:S23"/>
    <mergeCell ref="B8:G8"/>
    <mergeCell ref="N18:S18"/>
    <mergeCell ref="I38:L38"/>
    <mergeCell ref="I56:K56"/>
    <mergeCell ref="U29:X29"/>
    <mergeCell ref="U23:X23"/>
    <mergeCell ref="U38:X38"/>
    <mergeCell ref="I40:L40"/>
    <mergeCell ref="U54:X56"/>
    <mergeCell ref="U31:X31"/>
    <mergeCell ref="U40:X40"/>
    <mergeCell ref="Q5:X5"/>
    <mergeCell ref="U15:X15"/>
    <mergeCell ref="T9:X9"/>
    <mergeCell ref="N34:S34"/>
    <mergeCell ref="T6:V6"/>
    <mergeCell ref="I26:L26"/>
    <mergeCell ref="B36:G36"/>
    <mergeCell ref="N49:S49"/>
    <mergeCell ref="B45:G45"/>
    <mergeCell ref="N27:S27"/>
    <mergeCell ref="N36:S36"/>
    <mergeCell ref="I16:L16"/>
    <mergeCell ref="D4:E4"/>
    <mergeCell ref="S7:V7"/>
    <mergeCell ref="I25:L25"/>
    <mergeCell ref="U16:X16"/>
    <mergeCell ref="N20:S20"/>
    <mergeCell ref="B47:G47"/>
    <mergeCell ref="U25:X25"/>
    <mergeCell ref="I18:L18"/>
    <mergeCell ref="B22:G22"/>
    <mergeCell ref="P10:X10"/>
    <mergeCell ref="B31:G31"/>
    <mergeCell ref="N22:S22"/>
    <mergeCell ref="K10:O10"/>
    <mergeCell ref="B12:G12"/>
    <mergeCell ref="B21:G21"/>
    <mergeCell ref="B39:G39"/>
    <mergeCell ref="U28:X28"/>
    <mergeCell ref="N12:S12"/>
    <mergeCell ref="U42:X42"/>
    <mergeCell ref="N46:S46"/>
    <mergeCell ref="I52:L52"/>
    <mergeCell ref="N21:S21"/>
    <mergeCell ref="I39:L39"/>
    <mergeCell ref="B14:G14"/>
    <mergeCell ref="F54:G54"/>
    <mergeCell ref="I44:L44"/>
    <mergeCell ref="B23:G23"/>
    <mergeCell ref="I20:L20"/>
    <mergeCell ref="W6:X6"/>
    <mergeCell ref="N14:S14"/>
    <mergeCell ref="I29:L29"/>
    <mergeCell ref="B13:G13"/>
    <mergeCell ref="N48:S48"/>
    <mergeCell ref="U20:X20"/>
    <mergeCell ref="T4:X4"/>
    <mergeCell ref="U14:X14"/>
    <mergeCell ref="B56:F56"/>
    <mergeCell ref="I13:L13"/>
    <mergeCell ref="N38:S38"/>
    <mergeCell ref="I31:L31"/>
    <mergeCell ref="M19:M52"/>
    <mergeCell ref="U22:X22"/>
    <mergeCell ref="B49:G49"/>
    <mergeCell ref="I15:L15"/>
    <mergeCell ref="B7:H7"/>
    <mergeCell ref="I46:L46"/>
    <mergeCell ref="N40:S40"/>
    <mergeCell ref="B33:G33"/>
    <mergeCell ref="U46:X46"/>
    <mergeCell ref="B51:G51"/>
    <mergeCell ref="W7:X7"/>
    <mergeCell ref="M9:S9"/>
    <mergeCell ref="N24:S24"/>
    <mergeCell ref="B41:G41"/>
    <mergeCell ref="B35:G35"/>
    <mergeCell ref="B50:G50"/>
    <mergeCell ref="U48:X48"/>
    <mergeCell ref="I32:L32"/>
    <mergeCell ref="I7:L7"/>
    <mergeCell ref="N26:S26"/>
    <mergeCell ref="I41:L41"/>
    <mergeCell ref="T8:X8"/>
    <mergeCell ref="N35:S35"/>
    <mergeCell ref="B25:G25"/>
    <mergeCell ref="U32:X32"/>
    <mergeCell ref="B6:C6"/>
    <mergeCell ref="N16:S16"/>
    <mergeCell ref="U41:X41"/>
    <mergeCell ref="N25:S25"/>
    <mergeCell ref="U47:X47"/>
    <mergeCell ref="M7:P7"/>
    <mergeCell ref="B27:G27"/>
    <mergeCell ref="I43:L43"/>
    <mergeCell ref="N51:S51"/>
    <mergeCell ref="B55:L55"/>
    <mergeCell ref="R57:X58"/>
    <mergeCell ref="A38:A45"/>
    <mergeCell ref="I24:L24"/>
    <mergeCell ref="U43:X43"/>
    <mergeCell ref="I33:L33"/>
    <mergeCell ref="I42:L42"/>
    <mergeCell ref="U24:X24"/>
    <mergeCell ref="U18:X18"/>
    <mergeCell ref="U33:X33"/>
    <mergeCell ref="I17:L17"/>
    <mergeCell ref="I35:L35"/>
    <mergeCell ref="N52:S52"/>
    <mergeCell ref="M5:N5"/>
    <mergeCell ref="R54:T56"/>
    <mergeCell ref="N39:S39"/>
    <mergeCell ref="B5:H5"/>
    <mergeCell ref="I19:L19"/>
    <mergeCell ref="B29:G29"/>
    <mergeCell ref="B38:G38"/>
    <mergeCell ref="U19:X19"/>
    <mergeCell ref="U50:X50"/>
    <mergeCell ref="N29:S29"/>
    <mergeCell ref="U44:X44"/>
    <mergeCell ref="O5:P5"/>
    <mergeCell ref="B54:E54"/>
    <mergeCell ref="N13:S13"/>
    <mergeCell ref="I30:L30"/>
    <mergeCell ref="F58:H58"/>
    <mergeCell ref="B40:G40"/>
    <mergeCell ref="N31:S31"/>
    <mergeCell ref="M15:M18"/>
    <mergeCell ref="B15:G15"/>
    <mergeCell ref="I45:L45"/>
    <mergeCell ref="B57:L57"/>
    <mergeCell ref="B24:G24"/>
    <mergeCell ref="U36:X36"/>
    <mergeCell ref="N15:S15"/>
    <mergeCell ref="U45:X45"/>
    <mergeCell ref="B58:E58"/>
    <mergeCell ref="B32:G32"/>
    <mergeCell ref="I47:L47"/>
    <mergeCell ref="B26:G26"/>
    <mergeCell ref="F4:K4"/>
    <mergeCell ref="A23:A37"/>
    <mergeCell ref="I37:L37"/>
    <mergeCell ref="B16:G16"/>
    <mergeCell ref="N32:S32"/>
    <mergeCell ref="U37:X37"/>
    <mergeCell ref="N41:S41"/>
    <mergeCell ref="I21:L21"/>
    <mergeCell ref="N50:S50"/>
    <mergeCell ref="U13:X13"/>
    <mergeCell ref="B43:G43"/>
    <mergeCell ref="B18:G18"/>
    <mergeCell ref="U21:X21"/>
    <mergeCell ref="B52:G52"/>
    <mergeCell ref="B4:C4"/>
    <mergeCell ref="N43:S43"/>
    <mergeCell ref="G56:H56"/>
    <mergeCell ref="I23:L23"/>
    <mergeCell ref="B42:G42"/>
    <mergeCell ref="N33:S33"/>
    <mergeCell ref="B17:G17"/>
    <mergeCell ref="N42:S42"/>
    <mergeCell ref="I51:L51"/>
    <mergeCell ref="A46:A52"/>
    <mergeCell ref="N17:S17"/>
    <mergeCell ref="B44:G44"/>
    <mergeCell ref="U51:X51"/>
    <mergeCell ref="H9:L9"/>
    <mergeCell ref="B19:G19"/>
    <mergeCell ref="B34:G34"/>
    <mergeCell ref="I50:L50"/>
    <mergeCell ref="A12:A22"/>
    <mergeCell ref="B28:G28"/>
    <mergeCell ref="U26:X26"/>
    <mergeCell ref="N44:S44"/>
    <mergeCell ref="B10:J10"/>
    <mergeCell ref="B37:G37"/>
    <mergeCell ref="M4:S4"/>
    <mergeCell ref="N19:S19"/>
    <mergeCell ref="U35:X35"/>
    <mergeCell ref="I34:L34"/>
    <mergeCell ref="B9:G9"/>
    <mergeCell ref="N28:S28"/>
    <mergeCell ref="U34:X34"/>
    <mergeCell ref="B30:G30"/>
    <mergeCell ref="I49:L49"/>
    <mergeCell ref="M54:Q58"/>
    <mergeCell ref="I27:L27"/>
    <mergeCell ref="I36:L36"/>
    <mergeCell ref="B20:G20"/>
    <mergeCell ref="N30:S30"/>
    <mergeCell ref="U49:X49"/>
    <mergeCell ref="U27:X27"/>
    <mergeCell ref="U30:X30"/>
    <mergeCell ref="N45:S45"/>
    <mergeCell ref="U17:X17"/>
    <mergeCell ref="D6:S6"/>
    <mergeCell ref="T1:X3"/>
    <mergeCell ref="I22:L22"/>
    <mergeCell ref="I28:L28"/>
    <mergeCell ref="N47:S47"/>
    <mergeCell ref="B46:G46"/>
    <mergeCell ref="B1:E3"/>
    <mergeCell ref="I12:L12"/>
    <mergeCell ref="N37:S37"/>
    <mergeCell ref="U12:X12"/>
    <mergeCell ref="B48:G48"/>
    <mergeCell ref="I5:L5"/>
  </mergeCells>
  <pageMargins left="0.75" right="0.75" top="1" bottom="1" header="0.5" footer="0.5"/>
  <pageSetup orientation="landscape" fitToHeight="1" fitToWidth="1"/>
</worksheet>
</file>

<file path=xl/worksheets/sheet12.xml><?xml version="1.0" encoding="utf-8"?>
<worksheet xmlns="http://schemas.openxmlformats.org/spreadsheetml/2006/main">
  <sheetPr>
    <tabColor rgb="00D9EDEB"/>
    <outlinePr summaryBelow="1" summaryRight="1"/>
    <pageSetUpPr/>
  </sheetPr>
  <dimension ref="A1:H29"/>
  <sheetViews>
    <sheetView showGridLines="0" workbookViewId="0">
      <selection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 width="18" customWidth="1" min="7" max="7"/>
    <col width="18" customWidth="1" min="8" max="8"/>
  </cols>
  <sheetData>
    <row r="1" ht="24" customHeight="1">
      <c r="A1" s="1" t="inlineStr">
        <is>
          <t>RESUMEN</t>
        </is>
      </c>
      <c r="B1" s="108" t="n"/>
      <c r="C1" s="108" t="n"/>
      <c r="D1" s="108" t="n"/>
      <c r="E1" s="108" t="n"/>
      <c r="F1" s="108" t="n"/>
      <c r="G1" s="108" t="n"/>
      <c r="H1" s="109" t="n"/>
    </row>
    <row r="2" ht="30" customHeight="1">
      <c r="A2" s="3" t="inlineStr">
        <is>
          <t>Lectura ejecutiva del borrador AG 2025. Esta hoja está pensada para revisar rápido antes de ir al detalle.</t>
        </is>
      </c>
      <c r="B2" s="108" t="n"/>
      <c r="C2" s="108" t="n"/>
      <c r="D2" s="108" t="n"/>
      <c r="E2" s="108" t="n"/>
      <c r="F2" s="108" t="n"/>
      <c r="G2" s="108" t="n"/>
      <c r="H2" s="109" t="n"/>
    </row>
    <row r="3">
      <c r="A3" s="2" t="n"/>
      <c r="B3" s="2" t="n"/>
      <c r="C3" s="2" t="n"/>
      <c r="D3" s="2" t="n"/>
      <c r="E3" s="2" t="n"/>
      <c r="F3" s="2" t="n"/>
      <c r="G3" s="2" t="n"/>
      <c r="H3" s="2" t="n"/>
    </row>
    <row r="4">
      <c r="A4" s="8" t="inlineStr">
        <is>
          <t>Razón social</t>
        </is>
      </c>
      <c r="B4" s="81">
        <f>IFERROR(INDEX(LIQUIDACION_110!$D:$D,MATCH(11,LIQUIDACION_110!$A:$A,0)),"")</f>
        <v/>
      </c>
      <c r="C4" s="8" t="inlineStr">
        <is>
          <t>NIT</t>
        </is>
      </c>
      <c r="D4" s="81">
        <f>IFERROR(INDEX(LIQUIDACION_110!$D:$D,MATCH(5,LIQUIDACION_110!$A:$A,0)),0)</f>
        <v/>
      </c>
      <c r="E4" s="8" t="inlineStr">
        <is>
          <t>Año</t>
        </is>
      </c>
      <c r="F4" s="81">
        <f>PARAMS!$B$5</f>
        <v/>
      </c>
      <c r="G4" s="8" t="inlineStr">
        <is>
          <t>Perfil</t>
        </is>
      </c>
      <c r="H4" s="81">
        <f>PERFIL_TRIBUTARIO!$B$5</f>
        <v/>
      </c>
    </row>
    <row r="5">
      <c r="A5" s="8" t="inlineStr">
        <is>
          <t>Actividad</t>
        </is>
      </c>
      <c r="B5" s="81">
        <f>IFERROR(INDEX(LIQUIDACION_110!$D:$D,MATCH(24,LIQUIDACION_110!$A:$A,0)),0)</f>
        <v/>
      </c>
      <c r="C5" s="8" t="inlineStr">
        <is>
          <t>Tarifa base 84</t>
        </is>
      </c>
      <c r="D5" s="82">
        <f>PERFIL_TRIBUTARIO!$B$8</f>
        <v/>
      </c>
      <c r="E5" s="8" t="inlineStr">
        <is>
          <t>TTD calculada</t>
        </is>
      </c>
      <c r="F5" s="82">
        <f>TASA_MINIMA_TTD!$B$22</f>
        <v/>
      </c>
      <c r="G5" s="8" t="inlineStr">
        <is>
          <t>Alertas</t>
        </is>
      </c>
      <c r="H5" s="81">
        <f>COUNTIF(VALIDACIONES!$D:$D,"ALERTA")</f>
        <v/>
      </c>
    </row>
    <row r="6">
      <c r="A6" s="2" t="n"/>
      <c r="B6" s="2" t="n"/>
      <c r="C6" s="2" t="n"/>
      <c r="D6" s="2" t="n"/>
      <c r="E6" s="2" t="n"/>
      <c r="F6" s="2" t="n"/>
      <c r="G6" s="2" t="n"/>
      <c r="H6" s="2" t="n"/>
    </row>
    <row r="7">
      <c r="A7" s="5" t="inlineStr">
        <is>
          <t>Patrimonio líquido</t>
        </is>
      </c>
      <c r="B7" s="2" t="n"/>
      <c r="C7" s="5" t="inlineStr">
        <is>
          <t>Ingresos netos</t>
        </is>
      </c>
      <c r="D7" s="2" t="n"/>
      <c r="E7" s="5" t="inlineStr">
        <is>
          <t>Renta líquida gravable</t>
        </is>
      </c>
      <c r="F7" s="2" t="n"/>
      <c r="G7" s="5" t="inlineStr">
        <is>
          <t>Total impuesto a cargo</t>
        </is>
      </c>
      <c r="H7" s="2" t="n"/>
    </row>
    <row r="8">
      <c r="A8" s="83">
        <f>IFERROR(INDEX(LIQUIDACION_110!$D:$D,MATCH(46,LIQUIDACION_110!$A:$A,0)),0)</f>
        <v/>
      </c>
      <c r="B8" s="117" t="n"/>
      <c r="C8" s="83">
        <f>IFERROR(INDEX(LIQUIDACION_110!$D:$D,MATCH(61,LIQUIDACION_110!$A:$A,0)),0)</f>
        <v/>
      </c>
      <c r="D8" s="117" t="n"/>
      <c r="E8" s="83">
        <f>IFERROR(INDEX(LIQUIDACION_110!$D:$D,MATCH(79,LIQUIDACION_110!$A:$A,0)),0)</f>
        <v/>
      </c>
      <c r="F8" s="117" t="n"/>
      <c r="G8" s="83">
        <f>IFERROR(INDEX(LIQUIDACION_110!$D:$D,MATCH(99,LIQUIDACION_110!$A:$A,0)),0)</f>
        <v/>
      </c>
      <c r="H8" s="117" t="n"/>
    </row>
    <row r="9">
      <c r="A9" s="118" t="n"/>
      <c r="B9" s="119" t="n"/>
      <c r="C9" s="118" t="n"/>
      <c r="D9" s="119" t="n"/>
      <c r="E9" s="118" t="n"/>
      <c r="F9" s="119" t="n"/>
      <c r="G9" s="118" t="n"/>
      <c r="H9" s="119" t="n"/>
    </row>
    <row r="10">
      <c r="A10" s="118" t="n"/>
      <c r="B10" s="119" t="n"/>
      <c r="C10" s="118" t="n"/>
      <c r="D10" s="119" t="n"/>
      <c r="E10" s="118" t="n"/>
      <c r="F10" s="119" t="n"/>
      <c r="G10" s="118" t="n"/>
      <c r="H10" s="119" t="n"/>
    </row>
    <row r="11">
      <c r="A11" s="120" t="n"/>
      <c r="B11" s="121" t="n"/>
      <c r="C11" s="120" t="n"/>
      <c r="D11" s="121" t="n"/>
      <c r="E11" s="120" t="n"/>
      <c r="F11" s="121" t="n"/>
      <c r="G11" s="120" t="n"/>
      <c r="H11" s="121" t="n"/>
    </row>
    <row r="12">
      <c r="A12" s="5" t="inlineStr">
        <is>
          <t>Compensaciones</t>
        </is>
      </c>
      <c r="B12" s="2" t="n"/>
      <c r="C12" s="5" t="inlineStr">
        <is>
          <t>Rentas exentas</t>
        </is>
      </c>
      <c r="D12" s="2" t="n"/>
      <c r="E12" s="5" t="inlineStr">
        <is>
          <t>VAA</t>
        </is>
      </c>
      <c r="F12" s="2" t="n"/>
      <c r="G12" s="5" t="inlineStr">
        <is>
          <t>Descuentos renta</t>
        </is>
      </c>
      <c r="H12" s="2" t="n"/>
    </row>
    <row r="13">
      <c r="A13" s="83">
        <f>IFERROR(INDEX(LIQUIDACION_110!$D:$D,MATCH(74,LIQUIDACION_110!$A:$A,0)),0)</f>
        <v/>
      </c>
      <c r="B13" s="117" t="n"/>
      <c r="C13" s="83">
        <f>IFERROR(INDEX(LIQUIDACION_110!$D:$D,MATCH(77,LIQUIDACION_110!$A:$A,0)),0)</f>
        <v/>
      </c>
      <c r="D13" s="117" t="n"/>
      <c r="E13" s="83">
        <f>IFERROR(INDEX(LIQUIDACION_110!$D:$D,MATCH(92,LIQUIDACION_110!$A:$A,0)),0)</f>
        <v/>
      </c>
      <c r="F13" s="117" t="n"/>
      <c r="G13" s="83">
        <f>IFERROR(INDEX(LIQUIDACION_110!$D:$D,MATCH(93,LIQUIDACION_110!$A:$A,0)),0)</f>
        <v/>
      </c>
      <c r="H13" s="117" t="n"/>
    </row>
    <row r="14">
      <c r="A14" s="118" t="n"/>
      <c r="B14" s="119" t="n"/>
      <c r="C14" s="118" t="n"/>
      <c r="D14" s="119" t="n"/>
      <c r="E14" s="118" t="n"/>
      <c r="F14" s="119" t="n"/>
      <c r="G14" s="118" t="n"/>
      <c r="H14" s="119" t="n"/>
    </row>
    <row r="15">
      <c r="A15" s="118" t="n"/>
      <c r="B15" s="119" t="n"/>
      <c r="C15" s="118" t="n"/>
      <c r="D15" s="119" t="n"/>
      <c r="E15" s="118" t="n"/>
      <c r="F15" s="119" t="n"/>
      <c r="G15" s="118" t="n"/>
      <c r="H15" s="119" t="n"/>
    </row>
    <row r="16">
      <c r="A16" s="120" t="n"/>
      <c r="B16" s="121" t="n"/>
      <c r="C16" s="120" t="n"/>
      <c r="D16" s="121" t="n"/>
      <c r="E16" s="120" t="n"/>
      <c r="F16" s="121" t="n"/>
      <c r="G16" s="120" t="n"/>
      <c r="H16" s="121" t="n"/>
    </row>
    <row r="17">
      <c r="A17" s="5" t="inlineStr">
        <is>
          <t>Saldo a pagar</t>
        </is>
      </c>
      <c r="B17" s="2" t="n"/>
      <c r="C17" s="5" t="inlineStr">
        <is>
          <t>Saldo a favor</t>
        </is>
      </c>
      <c r="D17" s="2" t="n"/>
      <c r="E17" s="5" t="inlineStr">
        <is>
          <t>Pago total</t>
        </is>
      </c>
      <c r="F17" s="2" t="n"/>
      <c r="G17" s="5" t="inlineStr">
        <is>
          <t>Tasa efectiva sobre 79</t>
        </is>
      </c>
      <c r="H17" s="2" t="n"/>
    </row>
    <row r="18">
      <c r="A18" s="83">
        <f>IFERROR(INDEX(LIQUIDACION_110!$D:$D,MATCH(113,LIQUIDACION_110!$A:$A,0)),0)</f>
        <v/>
      </c>
      <c r="B18" s="117" t="n"/>
      <c r="C18" s="83">
        <f>IFERROR(INDEX(LIQUIDACION_110!$D:$D,MATCH(114,LIQUIDACION_110!$A:$A,0)),0)</f>
        <v/>
      </c>
      <c r="D18" s="117" t="n"/>
      <c r="E18" s="83">
        <f>IFERROR(INDEX(LIQUIDACION_110!$D:$D,MATCH(980,LIQUIDACION_110!$A:$A,0)),0)</f>
        <v/>
      </c>
      <c r="F18" s="117" t="n"/>
      <c r="G18" s="84">
        <f>IF(IFERROR(INDEX(LIQUIDACION_110!$D:$D,MATCH(79,LIQUIDACION_110!$A:$A,0)),0)&gt;0,IFERROR(INDEX(LIQUIDACION_110!$D:$D,MATCH(99,LIQUIDACION_110!$A:$A,0)),0)/IFERROR(INDEX(LIQUIDACION_110!$D:$D,MATCH(79,LIQUIDACION_110!$A:$A,0)),0),0)</f>
        <v/>
      </c>
      <c r="H18" s="117" t="n"/>
    </row>
    <row r="19">
      <c r="A19" s="118" t="n"/>
      <c r="B19" s="119" t="n"/>
      <c r="C19" s="118" t="n"/>
      <c r="D19" s="119" t="n"/>
      <c r="E19" s="118" t="n"/>
      <c r="F19" s="119" t="n"/>
      <c r="G19" s="118" t="n"/>
      <c r="H19" s="119" t="n"/>
    </row>
    <row r="20">
      <c r="A20" s="118" t="n"/>
      <c r="B20" s="119" t="n"/>
      <c r="C20" s="118" t="n"/>
      <c r="D20" s="119" t="n"/>
      <c r="E20" s="118" t="n"/>
      <c r="F20" s="119" t="n"/>
      <c r="G20" s="118" t="n"/>
      <c r="H20" s="119" t="n"/>
    </row>
    <row r="21">
      <c r="A21" s="120" t="n"/>
      <c r="B21" s="121" t="n"/>
      <c r="C21" s="120" t="n"/>
      <c r="D21" s="121" t="n"/>
      <c r="E21" s="120" t="n"/>
      <c r="F21" s="121" t="n"/>
      <c r="G21" s="120" t="n"/>
      <c r="H21" s="121" t="n"/>
    </row>
    <row r="22">
      <c r="A22" s="2" t="n"/>
      <c r="B22" s="2" t="n"/>
      <c r="C22" s="2" t="n"/>
      <c r="D22" s="2" t="n"/>
      <c r="E22" s="2" t="n"/>
      <c r="F22" s="2" t="n"/>
      <c r="G22" s="2" t="n"/>
      <c r="H22" s="2" t="n"/>
    </row>
    <row r="23">
      <c r="A23" s="2" t="n"/>
      <c r="B23" s="2" t="n"/>
      <c r="C23" s="2" t="n"/>
      <c r="D23" s="2" t="n"/>
      <c r="E23" s="2" t="n"/>
      <c r="F23" s="2" t="n"/>
      <c r="G23" s="2" t="n"/>
      <c r="H23" s="2" t="n"/>
    </row>
    <row r="24">
      <c r="A24" s="85" t="inlineStr">
        <is>
          <t>Lectura rápida</t>
        </is>
      </c>
      <c r="B24" s="2" t="n"/>
      <c r="C24" s="2" t="n"/>
      <c r="D24" s="2" t="n"/>
      <c r="E24" s="2" t="n"/>
      <c r="F24" s="2" t="n"/>
      <c r="G24" s="2" t="n"/>
      <c r="H24" s="2" t="n"/>
    </row>
    <row r="25">
      <c r="A25" s="2" t="inlineStr">
        <is>
          <t>- Casilla 84 puede venir de tarifa automática, puente multi-tarifa o override manual.</t>
        </is>
      </c>
      <c r="B25" s="2" t="n"/>
      <c r="C25" s="2" t="n"/>
      <c r="D25" s="2" t="n"/>
      <c r="E25" s="2" t="n"/>
      <c r="F25" s="2" t="n"/>
      <c r="G25" s="2" t="n"/>
      <c r="H25" s="2" t="n"/>
    </row>
    <row r="26">
      <c r="A26" s="2" t="inlineStr">
        <is>
          <t>- Casilla 92 calcula VAA sólo con los beneficios sujetos a art. 259-1.</t>
        </is>
      </c>
      <c r="B26" s="2" t="n"/>
      <c r="C26" s="2" t="n"/>
      <c r="D26" s="2" t="n"/>
      <c r="E26" s="2" t="n"/>
      <c r="F26" s="2" t="n"/>
      <c r="G26" s="2" t="n"/>
      <c r="H26" s="2" t="n"/>
    </row>
    <row r="27">
      <c r="A27" s="2" t="inlineStr">
        <is>
          <t>- Casilla 95 usa TTD; si hay consolidación, conviene revisar el override manual.</t>
        </is>
      </c>
      <c r="B27" s="2" t="n"/>
      <c r="C27" s="2" t="n"/>
      <c r="D27" s="2" t="n"/>
      <c r="E27" s="2" t="n"/>
      <c r="F27" s="2" t="n"/>
      <c r="G27" s="2" t="n"/>
      <c r="H27" s="2" t="n"/>
    </row>
    <row r="28">
      <c r="A28" s="2" t="inlineStr">
        <is>
          <t>- Casillas 100, 101 y 102 bajan pago, pero no son equivalentes entre sí.</t>
        </is>
      </c>
      <c r="B28" s="2" t="n"/>
      <c r="C28" s="2" t="n"/>
      <c r="D28" s="2" t="n"/>
      <c r="E28" s="2" t="n"/>
      <c r="F28" s="2" t="n"/>
      <c r="G28" s="2" t="n"/>
      <c r="H28" s="2" t="n"/>
    </row>
    <row r="29">
      <c r="A29" s="2" t="inlineStr">
        <is>
          <t>- Casilla 117 no reduce impuesto: sólo suma pago voluntario.</t>
        </is>
      </c>
      <c r="B29" s="2" t="n"/>
      <c r="C29" s="2" t="n"/>
      <c r="D29" s="2" t="n"/>
      <c r="E29" s="2" t="n"/>
      <c r="F29" s="2" t="n"/>
      <c r="G29" s="2" t="n"/>
      <c r="H29" s="2" t="n"/>
    </row>
  </sheetData>
  <mergeCells count="14">
    <mergeCell ref="G8:H11"/>
    <mergeCell ref="G18:H21"/>
    <mergeCell ref="A8:B11"/>
    <mergeCell ref="A2:H2"/>
    <mergeCell ref="C13:D16"/>
    <mergeCell ref="C18:D21"/>
    <mergeCell ref="A18:B21"/>
    <mergeCell ref="E18:F21"/>
    <mergeCell ref="A1:H1"/>
    <mergeCell ref="A13:B16"/>
    <mergeCell ref="E13:F16"/>
    <mergeCell ref="E8:F11"/>
    <mergeCell ref="C8:D11"/>
    <mergeCell ref="G13:H16"/>
  </mergeCells>
  <pageMargins left="0.75" right="0.75" top="1" bottom="1" header="0.5" footer="0.5"/>
</worksheet>
</file>

<file path=xl/worksheets/sheet13.xml><?xml version="1.0" encoding="utf-8"?>
<worksheet xmlns="http://schemas.openxmlformats.org/spreadsheetml/2006/main">
  <sheetPr>
    <tabColor rgb="00B45309"/>
    <outlinePr summaryBelow="1" summaryRight="1"/>
    <pageSetUpPr/>
  </sheetPr>
  <dimension ref="A1:H22"/>
  <sheetViews>
    <sheetView showGridLines="0" workbookViewId="0">
      <selection activeCell="A1" sqref="A1"/>
    </sheetView>
  </sheetViews>
  <sheetFormatPr baseColWidth="8" defaultRowHeight="15"/>
  <cols>
    <col width="8" customWidth="1" min="1" max="1"/>
    <col width="42" customWidth="1" min="2" max="2"/>
    <col width="22" customWidth="1" min="3" max="3"/>
    <col width="14" customWidth="1" min="4" max="4"/>
    <col width="44" customWidth="1" min="5" max="5"/>
  </cols>
  <sheetData>
    <row r="1" ht="24" customHeight="1">
      <c r="A1" s="1" t="inlineStr">
        <is>
          <t>VALIDACIONES</t>
        </is>
      </c>
      <c r="B1" s="108" t="n"/>
      <c r="C1" s="108" t="n"/>
      <c r="D1" s="108" t="n"/>
      <c r="E1" s="108" t="n"/>
      <c r="F1" s="108" t="n"/>
      <c r="G1" s="108" t="n"/>
      <c r="H1" s="109" t="n"/>
    </row>
    <row r="2" ht="30" customHeight="1">
      <c r="A2" s="3" t="inlineStr">
        <is>
          <t>Alertas automáticas para reducir errores de captura y riesgos obvios de presentación.</t>
        </is>
      </c>
      <c r="B2" s="108" t="n"/>
      <c r="C2" s="108" t="n"/>
      <c r="D2" s="108" t="n"/>
      <c r="E2" s="108" t="n"/>
      <c r="F2" s="108" t="n"/>
      <c r="G2" s="108" t="n"/>
      <c r="H2" s="109" t="n"/>
    </row>
    <row r="3">
      <c r="A3" s="2" t="n"/>
      <c r="B3" s="2" t="n"/>
      <c r="C3" s="2" t="n"/>
      <c r="D3" s="2" t="n"/>
      <c r="E3" s="2" t="n"/>
      <c r="F3" s="2" t="n"/>
      <c r="G3" s="2" t="n"/>
      <c r="H3" s="2" t="n"/>
    </row>
    <row r="4">
      <c r="A4" s="7" t="inlineStr">
        <is>
          <t>ID</t>
        </is>
      </c>
      <c r="B4" s="7" t="inlineStr">
        <is>
          <t>Chequeo</t>
        </is>
      </c>
      <c r="C4" s="7" t="inlineStr">
        <is>
          <t>Resultado</t>
        </is>
      </c>
      <c r="D4" s="7" t="inlineStr">
        <is>
          <t>Estado</t>
        </is>
      </c>
      <c r="E4" s="7" t="inlineStr">
        <is>
          <t>Acción sugerida</t>
        </is>
      </c>
      <c r="F4" s="2" t="n"/>
      <c r="G4" s="2" t="n"/>
      <c r="H4" s="2" t="n"/>
    </row>
    <row r="5">
      <c r="A5" s="10" t="inlineStr">
        <is>
          <t>V1</t>
        </is>
      </c>
      <c r="B5" s="10" t="inlineStr">
        <is>
          <t>Razón social diligenciada</t>
        </is>
      </c>
      <c r="C5" s="10">
        <f>IF(LEN(TRIM(INPUTS_110!$D$10))&gt;3,"OK","ALERTA")</f>
        <v/>
      </c>
      <c r="D5" s="10">
        <f>IF(C5="OK","OK","ALERTA")</f>
        <v/>
      </c>
      <c r="E5" s="10" t="inlineStr">
        <is>
          <t>Reemplaza CIA ABC por la razón social real.</t>
        </is>
      </c>
      <c r="F5" s="2" t="n"/>
      <c r="G5" s="2" t="n"/>
      <c r="H5" s="2" t="n"/>
    </row>
    <row r="6">
      <c r="A6" s="10" t="inlineStr">
        <is>
          <t>V2</t>
        </is>
      </c>
      <c r="B6" s="10" t="inlineStr">
        <is>
          <t>NIT y DV informados</t>
        </is>
      </c>
      <c r="C6" s="10">
        <f>IF(AND(INPUTS_110!$D$8&gt;0,INPUTS_110!$D$9&gt;0),"OK","ALERTA")</f>
        <v/>
      </c>
      <c r="D6" s="10">
        <f>IF(C6="OK","OK","ALERTA")</f>
        <v/>
      </c>
      <c r="E6" s="10" t="inlineStr">
        <is>
          <t>Completa NIT y DV antes de usar el modelo.</t>
        </is>
      </c>
      <c r="F6" s="2" t="n"/>
      <c r="G6" s="2" t="n"/>
      <c r="H6" s="2" t="n"/>
    </row>
    <row r="7">
      <c r="A7" s="10" t="inlineStr">
        <is>
          <t>V3</t>
        </is>
      </c>
      <c r="B7" s="10" t="inlineStr">
        <is>
          <t>Casillas 29-31 sólo usan 0 o 1</t>
        </is>
      </c>
      <c r="C7" s="10">
        <f>IF(AND(OR(INPUTS_110!$D$15=0,INPUTS_110!$D$15=1),OR(INPUTS_110!$D$16=0,INPUTS_110!$D$16=1),OR(INPUTS_110!$D$17=0,INPUTS_110!$D$17=1)),"OK","ALERTA")</f>
        <v/>
      </c>
      <c r="D7" s="10">
        <f>IF(C7="OK","OK","ALERTA")</f>
        <v/>
      </c>
      <c r="E7" s="10" t="inlineStr">
        <is>
          <t>Usa 0 o 1 en los indicadores del formulario.</t>
        </is>
      </c>
      <c r="F7" s="2" t="n"/>
      <c r="G7" s="2" t="n"/>
      <c r="H7" s="2" t="n"/>
    </row>
    <row r="8">
      <c r="A8" s="10" t="inlineStr">
        <is>
          <t>V4</t>
        </is>
      </c>
      <c r="B8" s="10" t="inlineStr">
        <is>
          <t>Casillas 68 y 69 sólo en RTE</t>
        </is>
      </c>
      <c r="C8" s="10">
        <f>IF(OR(PERFIL_TRIBUTARIO!$B$5="RTE_20",AND(INPUTS_110!$D$52=0,INPUTS_110!$D$53=0)),"OK","ALERTA")</f>
        <v/>
      </c>
      <c r="D8" s="10">
        <f>IF(C8="OK","OK","ALERTA")</f>
        <v/>
      </c>
      <c r="E8" s="10" t="inlineStr">
        <is>
          <t>Si no eres RTE, deja 68 y 69 en cero.</t>
        </is>
      </c>
      <c r="F8" s="2" t="n"/>
      <c r="G8" s="2" t="n"/>
      <c r="H8" s="2" t="n"/>
    </row>
    <row r="9">
      <c r="A9" s="10" t="inlineStr">
        <is>
          <t>V5</t>
        </is>
      </c>
      <c r="B9" s="10" t="inlineStr">
        <is>
          <t>Ganancias ocasionales exentas no superan 80 - 81</t>
        </is>
      </c>
      <c r="C9" s="10">
        <f>IF(INPUTS_110!$D$64&lt;=MAX(0,IFERROR(INDEX(LIQUIDACION_110!$D:$D,MATCH(80,LIQUIDACION_110!$A:$A,0)),0)-IFERROR(INDEX(LIQUIDACION_110!$D:$D,MATCH(81,LIQUIDACION_110!$A:$A,0)),0)),"OK","ALERTA")</f>
        <v/>
      </c>
      <c r="D9" s="10">
        <f>IF(C9="OK","OK","ALERTA")</f>
        <v/>
      </c>
      <c r="E9" s="10" t="inlineStr">
        <is>
          <t>Ajusta casilla 82 o revisa soportes de 80 y 81.</t>
        </is>
      </c>
      <c r="F9" s="2" t="n"/>
      <c r="G9" s="2" t="n"/>
      <c r="H9" s="2" t="n"/>
    </row>
    <row r="10">
      <c r="A10" s="10" t="inlineStr">
        <is>
          <t>V6</t>
        </is>
      </c>
      <c r="B10" s="10" t="inlineStr">
        <is>
          <t>Base de loterías no supera casilla 83</t>
        </is>
      </c>
      <c r="C10" s="10">
        <f>IF(INPUTS_110!$D$65&lt;=IFERROR(INDEX(LIQUIDACION_110!$D:$D,MATCH(83,LIQUIDACION_110!$A:$A,0)),0),"OK","ALERTA")</f>
        <v/>
      </c>
      <c r="D10" s="10">
        <f>IF(C10="OK","OK","ALERTA")</f>
        <v/>
      </c>
      <c r="E10" s="10" t="inlineStr">
        <is>
          <t>La base al 20% no puede exceder la ganancia ocasional gravable.</t>
        </is>
      </c>
      <c r="F10" s="2" t="n"/>
      <c r="G10" s="2" t="n"/>
      <c r="H10" s="2" t="n"/>
    </row>
    <row r="11">
      <c r="A11" s="10" t="inlineStr">
        <is>
          <t>V7</t>
        </is>
      </c>
      <c r="B11" s="10" t="inlineStr">
        <is>
          <t>Compensaciones no superan casilla 72</t>
        </is>
      </c>
      <c r="C11" s="10">
        <f>IF(INPUTS_110!$D$57&lt;=IFERROR(INDEX(LIQUIDACION_110!$D:$D,MATCH(72,LIQUIDACION_110!$A:$A,0)),0),"OK","ALERTA")</f>
        <v/>
      </c>
      <c r="D11" s="10">
        <f>IF(C11="OK","OK","ALERTA")</f>
        <v/>
      </c>
      <c r="E11" s="10" t="inlineStr">
        <is>
          <t>La casilla 74 no puede ser mayor a la renta líquida ordinaria.</t>
        </is>
      </c>
      <c r="F11" s="2" t="n"/>
      <c r="G11" s="2" t="n"/>
      <c r="H11" s="2" t="n"/>
    </row>
    <row r="12">
      <c r="A12" s="10" t="inlineStr">
        <is>
          <t>V8</t>
        </is>
      </c>
      <c r="B12" s="10" t="inlineStr">
        <is>
          <t>Renta exenta no supera el mayor valor entre 75 y 76</t>
        </is>
      </c>
      <c r="C12" s="10">
        <f>IF(INPUTS_110!$D$59&lt;=MAX(IFERROR(INDEX(LIQUIDACION_110!$D:$D,MATCH(75,LIQUIDACION_110!$A:$A,0)),0),IFERROR(INDEX(LIQUIDACION_110!$D:$D,MATCH(76,LIQUIDACION_110!$A:$A,0)),0)),"OK","ALERTA")</f>
        <v/>
      </c>
      <c r="D12" s="10">
        <f>IF(C12="OK","OK","ALERTA")</f>
        <v/>
      </c>
      <c r="E12" s="10" t="inlineStr">
        <is>
          <t>La casilla 77 debe respetar el tope del instructivo.</t>
        </is>
      </c>
      <c r="F12" s="2" t="n"/>
      <c r="G12" s="2" t="n"/>
      <c r="H12" s="2" t="n"/>
    </row>
    <row r="13">
      <c r="A13" s="10" t="inlineStr">
        <is>
          <t>V9</t>
        </is>
      </c>
      <c r="B13" s="10" t="inlineStr">
        <is>
          <t>Obras por impuestos modalidad 1 no supera 50% de casilla 99</t>
        </is>
      </c>
      <c r="C13" s="10">
        <f>IF(IFERROR(INDEX(LIQUIDACION_110!$D:$D,MATCH(100,LIQUIDACION_110!$A:$A,0)),0)&lt;=ROUND(IFERROR(INDEX(LIQUIDACION_110!$D:$D,MATCH(99,LIQUIDACION_110!$A:$A,0)),0)*PARAMS!$B$15,0),"OK","ALERTA")</f>
        <v/>
      </c>
      <c r="D13" s="10">
        <f>IF(C13="OK","OK","ALERTA")</f>
        <v/>
      </c>
      <c r="E13" s="10" t="inlineStr">
        <is>
          <t>Ajusta casilla 100 al tope máximo permitido.</t>
        </is>
      </c>
      <c r="F13" s="2" t="n"/>
      <c r="G13" s="2" t="n"/>
      <c r="H13" s="2" t="n"/>
    </row>
    <row r="14">
      <c r="A14" s="10" t="inlineStr">
        <is>
          <t>V10</t>
        </is>
      </c>
      <c r="B14" s="10" t="inlineStr">
        <is>
          <t>Casillas 113 y 114 no aparecen simultáneamente</t>
        </is>
      </c>
      <c r="C14" s="10">
        <f>IF(AND(IFERROR(INDEX(LIQUIDACION_110!$D:$D,MATCH(113,LIQUIDACION_110!$A:$A,0)),0)&gt;0,IFERROR(INDEX(LIQUIDACION_110!$D:$D,MATCH(114,LIQUIDACION_110!$A:$A,0)),0)&gt;0),"ALERTA","OK")</f>
        <v/>
      </c>
      <c r="D14" s="10">
        <f>IF(C14="OK","OK","ALERTA")</f>
        <v/>
      </c>
      <c r="E14" s="10" t="inlineStr">
        <is>
          <t>Sólo una de las dos debería quedar con valor.</t>
        </is>
      </c>
      <c r="F14" s="2" t="n"/>
      <c r="G14" s="2" t="n"/>
      <c r="H14" s="2" t="n"/>
    </row>
    <row r="15">
      <c r="A15" s="10" t="inlineStr">
        <is>
          <t>V11</t>
        </is>
      </c>
      <c r="B15" s="10" t="inlineStr">
        <is>
          <t>Descuentos tributarios no superan casilla 91</t>
        </is>
      </c>
      <c r="C15" s="10">
        <f>IF(IFERROR(INDEX(LIQUIDACION_110!$D:$D,MATCH(93,LIQUIDACION_110!$A:$A,0)),0)&lt;=IFERROR(INDEX(LIQUIDACION_110!$D:$D,MATCH(91,LIQUIDACION_110!$A:$A,0)),0),"OK","ALERTA")</f>
        <v/>
      </c>
      <c r="D15" s="10">
        <f>IF(C15="OK","OK","ALERTA")</f>
        <v/>
      </c>
      <c r="E15" s="10" t="inlineStr">
        <is>
          <t>Revisa topes de descuentos y su correcta clasificación.</t>
        </is>
      </c>
      <c r="F15" s="2" t="n"/>
      <c r="G15" s="2" t="n"/>
      <c r="H15" s="2" t="n"/>
    </row>
    <row r="16">
      <c r="A16" s="10" t="inlineStr">
        <is>
          <t>V12</t>
        </is>
      </c>
      <c r="B16" s="10" t="inlineStr">
        <is>
          <t>Si hay obras por impuestos, casilla 31 debe estar marcada</t>
        </is>
      </c>
      <c r="C16" s="10">
        <f>IF(OR(AND(IFERROR(INDEX(LIQUIDACION_110!$D:$D,MATCH(100,LIQUIDACION_110!$A:$A,0)),0)=0,IFERROR(INDEX(LIQUIDACION_110!$D:$D,MATCH(101,LIQUIDACION_110!$A:$A,0)),0)=0),IFERROR(INDEX(LIQUIDACION_110!$D:$D,MATCH(31,LIQUIDACION_110!$A:$A,0)),0)=1),"OK","REVISAR")</f>
        <v/>
      </c>
      <c r="D16" s="10">
        <f>IF(C16="OK","OK","REVISAR")</f>
        <v/>
      </c>
      <c r="E16" s="10" t="inlineStr">
        <is>
          <t>Si usas obras por impuestos, marca 31 en el formulario.</t>
        </is>
      </c>
      <c r="F16" s="2" t="n"/>
      <c r="G16" s="2" t="n"/>
      <c r="H16" s="2" t="n"/>
    </row>
    <row r="17">
      <c r="A17" s="10" t="inlineStr">
        <is>
          <t>V13</t>
        </is>
      </c>
      <c r="B17" s="10" t="inlineStr">
        <is>
          <t>Dividendos especiales 52-56 tienen trazabilidad con el perfil</t>
        </is>
      </c>
      <c r="C17" s="10">
        <f>IF(AND(SUM(IFERROR(INDEX(LIQUIDACION_110!$D:$D,MATCH(52,LIQUIDACION_110!$A:$A,0)),0),IFERROR(INDEX(LIQUIDACION_110!$D:$D,MATCH(53,LIQUIDACION_110!$A:$A,0)),0),IFERROR(INDEX(LIQUIDACION_110!$D:$D,MATCH(54,LIQUIDACION_110!$A:$A,0)),0),IFERROR(INDEX(LIQUIDACION_110!$D:$D,MATCH(55,LIQUIDACION_110!$A:$A,0)),0),IFERROR(INDEX(LIQUIDACION_110!$D:$D,MATCH(56,LIQUIDACION_110!$A:$A,0)),0))&gt;0,PERFIL_TRIBUTARIO!$B$5="ORDINARIO_35"),"REVISAR","OK")</f>
        <v/>
      </c>
      <c r="D17" s="10">
        <f>IF(C17="OK","OK","REVISAR")</f>
        <v/>
      </c>
      <c r="E17" s="10" t="inlineStr">
        <is>
          <t>Las casillas 52-56 suelen requerir un caso especial o no residente.</t>
        </is>
      </c>
      <c r="F17" s="2" t="n"/>
      <c r="G17" s="2" t="n"/>
      <c r="H17" s="2" t="n"/>
    </row>
    <row r="18">
      <c r="A18" s="10" t="inlineStr">
        <is>
          <t>V14</t>
        </is>
      </c>
      <c r="B18" s="10" t="inlineStr">
        <is>
          <t>RTE no debe liquidar anticipo general</t>
        </is>
      </c>
      <c r="C18" s="10">
        <f>IF(AND(PERFIL_TRIBUTARIO!$B$5="RTE_20",INPUTS_110!$D$71&gt;0),"ALERTA","OK")</f>
        <v/>
      </c>
      <c r="D18" s="10">
        <f>IF(C18="OK","OK","ALERTA")</f>
        <v/>
      </c>
      <c r="E18" s="10" t="inlineStr">
        <is>
          <t>En RTE, usualmente la casilla 108 debe quedar en cero.</t>
        </is>
      </c>
      <c r="F18" s="2" t="n"/>
      <c r="G18" s="2" t="n"/>
      <c r="H18" s="2" t="n"/>
    </row>
    <row r="19">
      <c r="A19" s="10" t="inlineStr">
        <is>
          <t>V15</t>
        </is>
      </c>
      <c r="B19" s="10" t="inlineStr">
        <is>
          <t>Tasa mínima consolidada requiere override manual</t>
        </is>
      </c>
      <c r="C19" s="10">
        <f>IF(AND(PERFIL_TRIBUTARIO!$B$11="Si",TASA_MINIMA_TTD!$B$24=0),"REVISAR","OK")</f>
        <v/>
      </c>
      <c r="D19" s="10">
        <f>IF(C19="OK","OK","REVISAR")</f>
        <v/>
      </c>
      <c r="E19" s="10" t="inlineStr">
        <is>
          <t>Si hay consolidación, valida el IA manualmente.</t>
        </is>
      </c>
      <c r="F19" s="2" t="n"/>
      <c r="G19" s="2" t="n"/>
      <c r="H19" s="2" t="n"/>
    </row>
    <row r="20">
      <c r="A20" s="10" t="inlineStr">
        <is>
          <t>V16</t>
        </is>
      </c>
      <c r="B20" s="10" t="inlineStr">
        <is>
          <t>Renta presuntiva con valor requiere soporte técnico</t>
        </is>
      </c>
      <c r="C20" s="10">
        <f>IF(AND(INPUTS_110!$D$58&gt;0,INPUTS_110!$H$58&lt;&gt;""),"REVISAR","OK")</f>
        <v/>
      </c>
      <c r="D20" s="10">
        <f>IF(C20="OK","OK","REVISAR")</f>
        <v/>
      </c>
      <c r="E20" s="10" t="inlineStr">
        <is>
          <t>Documenta por qué la casilla 76 tiene valor en AG 2025.</t>
        </is>
      </c>
      <c r="F20" s="2" t="n"/>
      <c r="G20" s="2" t="n"/>
      <c r="H20" s="2" t="n"/>
    </row>
    <row r="21">
      <c r="A21" s="10" t="inlineStr">
        <is>
          <t>V17</t>
        </is>
      </c>
      <c r="B21" s="10" t="inlineStr">
        <is>
          <t>Aporte voluntario exige recibo separado</t>
        </is>
      </c>
      <c r="C21" s="10">
        <f>IF(INPUTS_110!$D$75&gt;0,"REVISAR","OK")</f>
        <v/>
      </c>
      <c r="D21" s="10">
        <f>IF(C21="OK","OK","REVISAR")</f>
        <v/>
      </c>
      <c r="E21" s="10" t="inlineStr">
        <is>
          <t>No olvides que el aporte voluntario va con recibo adicional.</t>
        </is>
      </c>
      <c r="F21" s="2" t="n"/>
      <c r="G21" s="2" t="n"/>
      <c r="H21" s="2" t="n"/>
    </row>
    <row r="22">
      <c r="A22" s="10" t="inlineStr">
        <is>
          <t>V18</t>
        </is>
      </c>
      <c r="B22" s="10" t="inlineStr">
        <is>
          <t>Puente multi-tarifa no excede la renta gravable</t>
        </is>
      </c>
      <c r="C22" s="10">
        <f>IF(OR(PERFIL_TRIBUTARIO!$B$6="No",SUM(PERFIL_TRIBUTARIO!$B$13:$B$20)&lt;=IFERROR(INDEX(LIQUIDACION_110!$D:$D,MATCH(79,LIQUIDACION_110!$A:$A,0)),0)),"OK","REVISAR")</f>
        <v/>
      </c>
      <c r="D22" s="10">
        <f>IF(C22="OK","OK","REVISAR")</f>
        <v/>
      </c>
      <c r="E22" s="10" t="inlineStr">
        <is>
          <t>Si usas el puente, las bases no deberían exceder la casilla 79.</t>
        </is>
      </c>
      <c r="F22" s="2" t="n"/>
      <c r="G22" s="2" t="n"/>
      <c r="H22" s="2" t="n"/>
    </row>
  </sheetData>
  <mergeCells count="2">
    <mergeCell ref="A2:H2"/>
    <mergeCell ref="A1:H1"/>
  </mergeCells>
  <conditionalFormatting sqref="D5:D22">
    <cfRule type="expression" priority="1" dxfId="0">
      <formula>$D5="OK"</formula>
    </cfRule>
    <cfRule type="expression" priority="2" dxfId="1">
      <formula>$D5="REVISAR"</formula>
    </cfRule>
    <cfRule type="expression" priority="3" dxfId="2">
      <formula>$D5="ALERTA"</formula>
    </cfRule>
  </conditionalFormatting>
  <pageMargins left="0.75" right="0.75" top="1" bottom="1" header="0.5" footer="0.5"/>
</worksheet>
</file>

<file path=xl/worksheets/sheet14.xml><?xml version="1.0" encoding="utf-8"?>
<worksheet xmlns="http://schemas.openxmlformats.org/spreadsheetml/2006/main">
  <sheetPr>
    <tabColor rgb="006B7280"/>
    <outlinePr summaryBelow="1" summaryRight="1"/>
    <pageSetUpPr/>
  </sheetPr>
  <dimension ref="A1:H20"/>
  <sheetViews>
    <sheetView showGridLines="0" workbookViewId="0">
      <selection activeCell="A1" sqref="A1"/>
    </sheetView>
  </sheetViews>
  <sheetFormatPr baseColWidth="8" defaultRowHeight="15"/>
  <cols>
    <col width="28" customWidth="1" min="1" max="1"/>
    <col width="58" customWidth="1" min="2" max="2"/>
    <col width="16" customWidth="1" min="3" max="3"/>
    <col width="40" customWidth="1" min="4" max="4"/>
  </cols>
  <sheetData>
    <row r="1" ht="24" customHeight="1">
      <c r="A1" s="1" t="inlineStr">
        <is>
          <t>CHECKLIST_SOPORTES</t>
        </is>
      </c>
      <c r="B1" s="108" t="n"/>
      <c r="C1" s="108" t="n"/>
      <c r="D1" s="108" t="n"/>
      <c r="E1" s="108" t="n"/>
      <c r="F1" s="108" t="n"/>
      <c r="G1" s="108" t="n"/>
      <c r="H1" s="109" t="n"/>
    </row>
    <row r="2" ht="30" customHeight="1">
      <c r="A2" s="3" t="inlineStr">
        <is>
          <t>Checklist mínimo de confiabilidad. Antes de presentar o publicar, intenta llevar esta hoja a puro OK o N/A.</t>
        </is>
      </c>
      <c r="B2" s="108" t="n"/>
      <c r="C2" s="108" t="n"/>
      <c r="D2" s="108" t="n"/>
      <c r="E2" s="108" t="n"/>
      <c r="F2" s="108" t="n"/>
      <c r="G2" s="108" t="n"/>
      <c r="H2" s="109" t="n"/>
    </row>
    <row r="3">
      <c r="A3" s="2" t="n"/>
      <c r="B3" s="2" t="n"/>
      <c r="C3" s="2" t="n"/>
      <c r="D3" s="2" t="n"/>
      <c r="E3" s="2" t="n"/>
      <c r="F3" s="2" t="n"/>
      <c r="G3" s="2" t="n"/>
      <c r="H3" s="2" t="n"/>
    </row>
    <row r="4">
      <c r="A4" s="7" t="inlineStr">
        <is>
          <t>Tema</t>
        </is>
      </c>
      <c r="B4" s="7" t="inlineStr">
        <is>
          <t>Documento / evidencia requerida</t>
        </is>
      </c>
      <c r="C4" s="7" t="inlineStr">
        <is>
          <t>Estado</t>
        </is>
      </c>
      <c r="D4" s="7" t="inlineStr">
        <is>
          <t>Notas</t>
        </is>
      </c>
      <c r="E4" s="2" t="n"/>
      <c r="F4" s="2" t="n"/>
      <c r="G4" s="2" t="n"/>
      <c r="H4" s="2" t="n"/>
    </row>
    <row r="5">
      <c r="A5" s="8" t="inlineStr">
        <is>
          <t>RUT actualizado</t>
        </is>
      </c>
      <c r="B5" s="10" t="inlineStr">
        <is>
          <t>RUT vigente con actividad económica y dirección consistentes.</t>
        </is>
      </c>
      <c r="C5" s="12" t="inlineStr">
        <is>
          <t>Pendiente</t>
        </is>
      </c>
      <c r="D5" s="12" t="inlineStr"/>
      <c r="E5" s="2" t="n"/>
      <c r="F5" s="2" t="n"/>
      <c r="G5" s="2" t="n"/>
      <c r="H5" s="2" t="n"/>
    </row>
    <row r="6">
      <c r="A6" s="8" t="inlineStr">
        <is>
          <t>Estados financieros</t>
        </is>
      </c>
      <c r="B6" s="10" t="inlineStr">
        <is>
          <t>ESF y ERI del período, con conciliación contable-fiscal.</t>
        </is>
      </c>
      <c r="C6" s="12" t="inlineStr">
        <is>
          <t>Pendiente</t>
        </is>
      </c>
      <c r="D6" s="12" t="inlineStr"/>
      <c r="E6" s="2" t="n"/>
      <c r="F6" s="2" t="n"/>
      <c r="G6" s="2" t="n"/>
      <c r="H6" s="2" t="n"/>
    </row>
    <row r="7">
      <c r="A7" s="8" t="inlineStr">
        <is>
          <t>Formato 2516 / conciliación fiscal</t>
        </is>
      </c>
      <c r="B7" s="10" t="inlineStr">
        <is>
          <t>Cruce entre valores fiscales y contables.</t>
        </is>
      </c>
      <c r="C7" s="12" t="inlineStr">
        <is>
          <t>Pendiente</t>
        </is>
      </c>
      <c r="D7" s="12" t="inlineStr"/>
      <c r="E7" s="2" t="n"/>
      <c r="F7" s="2" t="n"/>
      <c r="G7" s="2" t="n"/>
      <c r="H7" s="2" t="n"/>
    </row>
    <row r="8">
      <c r="A8" s="8" t="inlineStr">
        <is>
          <t>Soportes de retenciones</t>
        </is>
      </c>
      <c r="B8" s="10" t="inlineStr">
        <is>
          <t>Certificados de autorretenciones y otras retenciones.</t>
        </is>
      </c>
      <c r="C8" s="12" t="inlineStr">
        <is>
          <t>Pendiente</t>
        </is>
      </c>
      <c r="D8" s="12" t="inlineStr"/>
      <c r="E8" s="2" t="n"/>
      <c r="F8" s="2" t="n"/>
      <c r="G8" s="2" t="n"/>
      <c r="H8" s="2" t="n"/>
    </row>
    <row r="9">
      <c r="A9" s="8" t="inlineStr">
        <is>
          <t>Pérdidas fiscales / excesos</t>
        </is>
      </c>
      <c r="B9" s="10" t="inlineStr">
        <is>
          <t>Papeles de trabajo históricos para casilla 74.</t>
        </is>
      </c>
      <c r="C9" s="12" t="inlineStr">
        <is>
          <t>Pendiente</t>
        </is>
      </c>
      <c r="D9" s="12" t="inlineStr"/>
      <c r="E9" s="2" t="n"/>
      <c r="F9" s="2" t="n"/>
      <c r="G9" s="2" t="n"/>
      <c r="H9" s="2" t="n"/>
    </row>
    <row r="10">
      <c r="A10" s="8" t="inlineStr">
        <is>
          <t>GMF e impuestos deducibles</t>
        </is>
      </c>
      <c r="B10" s="10" t="inlineStr">
        <is>
          <t>Certificados bancarios y prueba de pago.</t>
        </is>
      </c>
      <c r="C10" s="12" t="inlineStr">
        <is>
          <t>Pendiente</t>
        </is>
      </c>
      <c r="D10" s="12" t="inlineStr"/>
      <c r="E10" s="2" t="n"/>
      <c r="F10" s="2" t="n"/>
      <c r="G10" s="2" t="n"/>
      <c r="H10" s="2" t="n"/>
    </row>
    <row r="11">
      <c r="A11" s="8" t="inlineStr">
        <is>
          <t>Art. 107-2 educación</t>
        </is>
      </c>
      <c r="B11" s="10" t="inlineStr">
        <is>
          <t>Programa, soporte y trazabilidad de pagos.</t>
        </is>
      </c>
      <c r="C11" s="12" t="inlineStr">
        <is>
          <t>Pendiente</t>
        </is>
      </c>
      <c r="D11" s="12" t="inlineStr"/>
      <c r="E11" s="2" t="n"/>
      <c r="F11" s="2" t="n"/>
      <c r="G11" s="2" t="n"/>
      <c r="H11" s="2" t="n"/>
    </row>
    <row r="12">
      <c r="A12" s="8" t="inlineStr">
        <is>
          <t>Art. 108-5 primer empleo</t>
        </is>
      </c>
      <c r="B12" s="10" t="inlineStr">
        <is>
          <t>Certificación del Ministerio del Trabajo.</t>
        </is>
      </c>
      <c r="C12" s="12" t="inlineStr">
        <is>
          <t>Pendiente</t>
        </is>
      </c>
      <c r="D12" s="12" t="inlineStr"/>
      <c r="E12" s="2" t="n"/>
      <c r="F12" s="2" t="n"/>
      <c r="G12" s="2" t="n"/>
      <c r="H12" s="2" t="n"/>
    </row>
    <row r="13">
      <c r="A13" s="8" t="inlineStr">
        <is>
          <t>Ley 1715 FNCE</t>
        </is>
      </c>
      <c r="B13" s="10" t="inlineStr">
        <is>
          <t>Certificación UPME y control del plazo de deducción.</t>
        </is>
      </c>
      <c r="C13" s="12" t="inlineStr">
        <is>
          <t>Pendiente</t>
        </is>
      </c>
      <c r="D13" s="12" t="inlineStr"/>
      <c r="E13" s="2" t="n"/>
      <c r="F13" s="2" t="n"/>
      <c r="G13" s="2" t="n"/>
      <c r="H13" s="2" t="n"/>
    </row>
    <row r="14">
      <c r="A14" s="8" t="inlineStr">
        <is>
          <t>Art. 255 medio ambiente</t>
        </is>
      </c>
      <c r="B14" s="10" t="inlineStr">
        <is>
          <t>Certificación autoridad ambiental.</t>
        </is>
      </c>
      <c r="C14" s="12" t="inlineStr">
        <is>
          <t>Pendiente</t>
        </is>
      </c>
      <c r="D14" s="12" t="inlineStr"/>
      <c r="E14" s="2" t="n"/>
      <c r="F14" s="2" t="n"/>
      <c r="G14" s="2" t="n"/>
      <c r="H14" s="2" t="n"/>
    </row>
    <row r="15">
      <c r="A15" s="8" t="inlineStr">
        <is>
          <t>Art. 256 I+D+i</t>
        </is>
      </c>
      <c r="B15" s="10" t="inlineStr">
        <is>
          <t>Certificación CNBT.</t>
        </is>
      </c>
      <c r="C15" s="12" t="inlineStr">
        <is>
          <t>Pendiente</t>
        </is>
      </c>
      <c r="D15" s="12" t="inlineStr"/>
      <c r="E15" s="2" t="n"/>
      <c r="F15" s="2" t="n"/>
      <c r="G15" s="2" t="n"/>
      <c r="H15" s="2" t="n"/>
    </row>
    <row r="16">
      <c r="A16" s="8" t="inlineStr">
        <is>
          <t>Art. 257 donaciones</t>
        </is>
      </c>
      <c r="B16" s="10" t="inlineStr">
        <is>
          <t>Certificado del donatario y calidad RTE / art. 22 o 23.</t>
        </is>
      </c>
      <c r="C16" s="12" t="inlineStr">
        <is>
          <t>Pendiente</t>
        </is>
      </c>
      <c r="D16" s="12" t="inlineStr"/>
      <c r="E16" s="2" t="n"/>
      <c r="F16" s="2" t="n"/>
      <c r="G16" s="2" t="n"/>
      <c r="H16" s="2" t="n"/>
    </row>
    <row r="17">
      <c r="A17" s="8" t="inlineStr">
        <is>
          <t>Art. 257-1 becas por impuestos</t>
        </is>
      </c>
      <c r="B17" s="10" t="inlineStr">
        <is>
          <t>Títulos y convenio vigente.</t>
        </is>
      </c>
      <c r="C17" s="12" t="inlineStr">
        <is>
          <t>Pendiente</t>
        </is>
      </c>
      <c r="D17" s="12" t="inlineStr"/>
      <c r="E17" s="2" t="n"/>
      <c r="F17" s="2" t="n"/>
      <c r="G17" s="2" t="n"/>
      <c r="H17" s="2" t="n"/>
    </row>
    <row r="18">
      <c r="A18" s="8" t="inlineStr">
        <is>
          <t>Art. 256-1 crédito fiscal</t>
        </is>
      </c>
      <c r="B18" s="10" t="inlineStr">
        <is>
          <t>Certificación CNBT y trazabilidad del crédito.</t>
        </is>
      </c>
      <c r="C18" s="12" t="inlineStr">
        <is>
          <t>Pendiente</t>
        </is>
      </c>
      <c r="D18" s="12" t="inlineStr"/>
      <c r="E18" s="2" t="n"/>
      <c r="F18" s="2" t="n"/>
      <c r="G18" s="2" t="n"/>
      <c r="H18" s="2" t="n"/>
    </row>
    <row r="19">
      <c r="A19" s="8" t="inlineStr">
        <is>
          <t>Obras por impuestos</t>
        </is>
      </c>
      <c r="B19" s="10" t="inlineStr">
        <is>
          <t>Aprobaciones ART / DNP y soporte de modalidad.</t>
        </is>
      </c>
      <c r="C19" s="12" t="inlineStr">
        <is>
          <t>Pendiente</t>
        </is>
      </c>
      <c r="D19" s="12" t="inlineStr"/>
      <c r="E19" s="2" t="n"/>
      <c r="F19" s="2" t="n"/>
      <c r="G19" s="2" t="n"/>
      <c r="H19" s="2" t="n"/>
    </row>
    <row r="20">
      <c r="A20" s="8" t="inlineStr">
        <is>
          <t>Tasa mínima TTD</t>
        </is>
      </c>
      <c r="B20" s="10" t="inlineStr">
        <is>
          <t>Utilidad depurada, impuesto depurado y soporte de exclusiones.</t>
        </is>
      </c>
      <c r="C20" s="12" t="inlineStr">
        <is>
          <t>Pendiente</t>
        </is>
      </c>
      <c r="D20" s="12" t="inlineStr"/>
      <c r="E20" s="2" t="n"/>
      <c r="F20" s="2" t="n"/>
      <c r="G20" s="2" t="n"/>
      <c r="H20" s="2" t="n"/>
    </row>
  </sheetData>
  <mergeCells count="2">
    <mergeCell ref="A2:H2"/>
    <mergeCell ref="A1:H1"/>
  </mergeCells>
  <dataValidations count="1">
    <dataValidation sqref="C5 C6 C7 C8 C9 C10 C11 C12 C13 C14 C15 C16 C17 C18 C19 C20" showDropDown="0" showInputMessage="0" showErrorMessage="0" allowBlank="0" type="list">
      <formula1>"Pendiente,OK,N/A"</formula1>
    </dataValidation>
  </dataValidations>
  <pageMargins left="0.75" right="0.75" top="1" bottom="1" header="0.5" footer="0.5"/>
</worksheet>
</file>

<file path=xl/worksheets/sheet15.xml><?xml version="1.0" encoding="utf-8"?>
<worksheet xmlns="http://schemas.openxmlformats.org/spreadsheetml/2006/main">
  <sheetPr>
    <tabColor rgb="000F243E"/>
    <outlinePr summaryBelow="1" summaryRight="1"/>
    <pageSetUpPr/>
  </sheetPr>
  <dimension ref="A1:H102"/>
  <sheetViews>
    <sheetView showGridLines="0" workbookViewId="0">
      <pane ySplit="4" topLeftCell="A5" activePane="bottomLeft" state="frozen"/>
      <selection pane="bottomLeft" activeCell="A1" sqref="A1"/>
    </sheetView>
  </sheetViews>
  <sheetFormatPr baseColWidth="8" defaultRowHeight="15"/>
  <cols>
    <col width="10" customWidth="1" min="1" max="1"/>
    <col width="26" customWidth="1" min="2" max="2"/>
    <col width="54" customWidth="1" min="3" max="3"/>
    <col width="18" customWidth="1" min="4" max="4"/>
  </cols>
  <sheetData>
    <row r="1" ht="24" customHeight="1">
      <c r="A1" s="1" t="inlineStr">
        <is>
          <t>MAPA_FORMULARIO_110</t>
        </is>
      </c>
      <c r="B1" s="108" t="n"/>
      <c r="C1" s="108" t="n"/>
      <c r="D1" s="108" t="n"/>
      <c r="E1" s="108" t="n"/>
      <c r="F1" s="108" t="n"/>
      <c r="G1" s="108" t="n"/>
      <c r="H1" s="109" t="n"/>
    </row>
    <row r="2" ht="30" customHeight="1">
      <c r="A2" s="3" t="inlineStr">
        <is>
          <t>Vista limpia tipo formulario para revisar casillas clave sin entrar al motor de cálculo.</t>
        </is>
      </c>
      <c r="B2" s="108" t="n"/>
      <c r="C2" s="108" t="n"/>
      <c r="D2" s="108" t="n"/>
      <c r="E2" s="108" t="n"/>
      <c r="F2" s="108" t="n"/>
      <c r="G2" s="108" t="n"/>
      <c r="H2" s="109" t="n"/>
    </row>
    <row r="3">
      <c r="A3" s="2" t="n"/>
      <c r="B3" s="2" t="n"/>
      <c r="C3" s="2" t="n"/>
      <c r="D3" s="2" t="n"/>
      <c r="E3" s="2" t="n"/>
      <c r="F3" s="2" t="n"/>
      <c r="G3" s="2" t="n"/>
      <c r="H3" s="2" t="n"/>
    </row>
    <row r="4">
      <c r="A4" s="7" t="inlineStr">
        <is>
          <t>Casilla</t>
        </is>
      </c>
      <c r="B4" s="7" t="inlineStr">
        <is>
          <t>Sección</t>
        </is>
      </c>
      <c r="C4" s="7" t="inlineStr">
        <is>
          <t>Concepto</t>
        </is>
      </c>
      <c r="D4" s="7" t="inlineStr">
        <is>
          <t>Valor</t>
        </is>
      </c>
      <c r="E4" s="2" t="n"/>
      <c r="F4" s="2" t="n"/>
      <c r="G4" s="2" t="n"/>
      <c r="H4" s="2" t="n"/>
    </row>
    <row r="5">
      <c r="A5" s="8" t="n">
        <v>1</v>
      </c>
      <c r="B5" s="32">
        <f>IFERROR(INDEX(LIQUIDACION_110!$B:$B,MATCH(A5,LIQUIDACION_110!$A:$A,0)),"")</f>
        <v/>
      </c>
      <c r="C5" s="10" t="inlineStr">
        <is>
          <t>Año gravable</t>
        </is>
      </c>
      <c r="D5" s="86">
        <f>IFERROR(INDEX(LIQUIDACION_110!$D:$D,MATCH(A5,LIQUIDACION_110!$A:$A,0)),0)</f>
        <v/>
      </c>
      <c r="E5" s="2" t="n"/>
      <c r="F5" s="2" t="n"/>
      <c r="G5" s="2" t="n"/>
      <c r="H5" s="2" t="n"/>
    </row>
    <row r="6">
      <c r="A6" s="8" t="n">
        <v>4</v>
      </c>
      <c r="B6" s="32">
        <f>IFERROR(INDEX(LIQUIDACION_110!$B:$B,MATCH(A6,LIQUIDACION_110!$A:$A,0)),"")</f>
        <v/>
      </c>
      <c r="C6" s="10" t="inlineStr">
        <is>
          <t>Número de formulario</t>
        </is>
      </c>
      <c r="D6" s="86">
        <f>IFERROR(INDEX(LIQUIDACION_110!$D:$D,MATCH(A6,LIQUIDACION_110!$A:$A,0)),0)</f>
        <v/>
      </c>
      <c r="E6" s="2" t="n"/>
      <c r="F6" s="2" t="n"/>
      <c r="G6" s="2" t="n"/>
      <c r="H6" s="2" t="n"/>
    </row>
    <row r="7">
      <c r="A7" s="8" t="n">
        <v>5</v>
      </c>
      <c r="B7" s="32">
        <f>IFERROR(INDEX(LIQUIDACION_110!$B:$B,MATCH(A7,LIQUIDACION_110!$A:$A,0)),"")</f>
        <v/>
      </c>
      <c r="C7" s="10" t="inlineStr">
        <is>
          <t>NIT</t>
        </is>
      </c>
      <c r="D7" s="86">
        <f>IFERROR(INDEX(LIQUIDACION_110!$D:$D,MATCH(A7,LIQUIDACION_110!$A:$A,0)),0)</f>
        <v/>
      </c>
      <c r="E7" s="2" t="n"/>
      <c r="F7" s="2" t="n"/>
      <c r="G7" s="2" t="n"/>
      <c r="H7" s="2" t="n"/>
    </row>
    <row r="8">
      <c r="A8" s="8" t="n">
        <v>6</v>
      </c>
      <c r="B8" s="32">
        <f>IFERROR(INDEX(LIQUIDACION_110!$B:$B,MATCH(A8,LIQUIDACION_110!$A:$A,0)),"")</f>
        <v/>
      </c>
      <c r="C8" s="10" t="inlineStr">
        <is>
          <t>DV</t>
        </is>
      </c>
      <c r="D8" s="86">
        <f>IFERROR(INDEX(LIQUIDACION_110!$D:$D,MATCH(A8,LIQUIDACION_110!$A:$A,0)),0)</f>
        <v/>
      </c>
      <c r="E8" s="2" t="n"/>
      <c r="F8" s="2" t="n"/>
      <c r="G8" s="2" t="n"/>
      <c r="H8" s="2" t="n"/>
    </row>
    <row r="9">
      <c r="A9" s="8" t="n">
        <v>11</v>
      </c>
      <c r="B9" s="32">
        <f>IFERROR(INDEX(LIQUIDACION_110!$B:$B,MATCH(A9,LIQUIDACION_110!$A:$A,0)),"")</f>
        <v/>
      </c>
      <c r="C9" s="10" t="inlineStr">
        <is>
          <t>Razón social</t>
        </is>
      </c>
      <c r="D9" s="87">
        <f>IFERROR(INDEX(LIQUIDACION_110!$D:$D,MATCH(A9,LIQUIDACION_110!$A:$A,0)),0)</f>
        <v/>
      </c>
      <c r="E9" s="2" t="n"/>
      <c r="F9" s="2" t="n"/>
      <c r="G9" s="2" t="n"/>
      <c r="H9" s="2" t="n"/>
    </row>
    <row r="10">
      <c r="A10" s="8" t="n">
        <v>12</v>
      </c>
      <c r="B10" s="32">
        <f>IFERROR(INDEX(LIQUIDACION_110!$B:$B,MATCH(A10,LIQUIDACION_110!$A:$A,0)),"")</f>
        <v/>
      </c>
      <c r="C10" s="10" t="inlineStr">
        <is>
          <t>Cód. dirección seccional</t>
        </is>
      </c>
      <c r="D10" s="86">
        <f>IFERROR(INDEX(LIQUIDACION_110!$D:$D,MATCH(A10,LIQUIDACION_110!$A:$A,0)),0)</f>
        <v/>
      </c>
      <c r="E10" s="2" t="n"/>
      <c r="F10" s="2" t="n"/>
      <c r="G10" s="2" t="n"/>
      <c r="H10" s="2" t="n"/>
    </row>
    <row r="11">
      <c r="A11" s="8" t="n">
        <v>24</v>
      </c>
      <c r="B11" s="32">
        <f>IFERROR(INDEX(LIQUIDACION_110!$B:$B,MATCH(A11,LIQUIDACION_110!$A:$A,0)),"")</f>
        <v/>
      </c>
      <c r="C11" s="10" t="inlineStr">
        <is>
          <t>Actividad económica principal</t>
        </is>
      </c>
      <c r="D11" s="86">
        <f>IFERROR(INDEX(LIQUIDACION_110!$D:$D,MATCH(A11,LIQUIDACION_110!$A:$A,0)),0)</f>
        <v/>
      </c>
      <c r="E11" s="2" t="n"/>
      <c r="F11" s="2" t="n"/>
      <c r="G11" s="2" t="n"/>
      <c r="H11" s="2" t="n"/>
    </row>
    <row r="12">
      <c r="A12" s="8" t="n">
        <v>25</v>
      </c>
      <c r="B12" s="32">
        <f>IFERROR(INDEX(LIQUIDACION_110!$B:$B,MATCH(A12,LIQUIDACION_110!$A:$A,0)),"")</f>
        <v/>
      </c>
      <c r="C12" s="10" t="inlineStr">
        <is>
          <t>Código corrección</t>
        </is>
      </c>
      <c r="D12" s="86">
        <f>IFERROR(INDEX(LIQUIDACION_110!$D:$D,MATCH(A12,LIQUIDACION_110!$A:$A,0)),0)</f>
        <v/>
      </c>
      <c r="E12" s="2" t="n"/>
      <c r="F12" s="2" t="n"/>
      <c r="G12" s="2" t="n"/>
      <c r="H12" s="2" t="n"/>
    </row>
    <row r="13">
      <c r="A13" s="8" t="n">
        <v>26</v>
      </c>
      <c r="B13" s="32">
        <f>IFERROR(INDEX(LIQUIDACION_110!$B:$B,MATCH(A13,LIQUIDACION_110!$A:$A,0)),"")</f>
        <v/>
      </c>
      <c r="C13" s="10" t="inlineStr">
        <is>
          <t>No. formulario anterior</t>
        </is>
      </c>
      <c r="D13" s="86">
        <f>IFERROR(INDEX(LIQUIDACION_110!$D:$D,MATCH(A13,LIQUIDACION_110!$A:$A,0)),0)</f>
        <v/>
      </c>
      <c r="E13" s="2" t="n"/>
      <c r="F13" s="2" t="n"/>
      <c r="G13" s="2" t="n"/>
      <c r="H13" s="2" t="n"/>
    </row>
    <row r="14">
      <c r="A14" s="8" t="n">
        <v>29</v>
      </c>
      <c r="B14" s="32">
        <f>IFERROR(INDEX(LIQUIDACION_110!$B:$B,MATCH(A14,LIQUIDACION_110!$A:$A,0)),"")</f>
        <v/>
      </c>
      <c r="C14" s="10" t="inlineStr">
        <is>
          <t>Fracción año gravable siguiente</t>
        </is>
      </c>
      <c r="D14" s="86">
        <f>IFERROR(INDEX(LIQUIDACION_110!$D:$D,MATCH(A14,LIQUIDACION_110!$A:$A,0)),0)</f>
        <v/>
      </c>
      <c r="E14" s="2" t="n"/>
      <c r="F14" s="2" t="n"/>
      <c r="G14" s="2" t="n"/>
      <c r="H14" s="2" t="n"/>
    </row>
    <row r="15">
      <c r="A15" s="8" t="n">
        <v>30</v>
      </c>
      <c r="B15" s="32">
        <f>IFERROR(INDEX(LIQUIDACION_110!$B:$B,MATCH(A15,LIQUIDACION_110!$A:$A,0)),"")</f>
        <v/>
      </c>
      <c r="C15" s="10" t="inlineStr">
        <is>
          <t>Renunció a pertenecer al RTE</t>
        </is>
      </c>
      <c r="D15" s="86">
        <f>IFERROR(INDEX(LIQUIDACION_110!$D:$D,MATCH(A15,LIQUIDACION_110!$A:$A,0)),0)</f>
        <v/>
      </c>
      <c r="E15" s="2" t="n"/>
      <c r="F15" s="2" t="n"/>
      <c r="G15" s="2" t="n"/>
      <c r="H15" s="2" t="n"/>
    </row>
    <row r="16">
      <c r="A16" s="8" t="n">
        <v>31</v>
      </c>
      <c r="B16" s="32">
        <f>IFERROR(INDEX(LIQUIDACION_110!$B:$B,MATCH(A16,LIQUIDACION_110!$A:$A,0)),"")</f>
        <v/>
      </c>
      <c r="C16" s="10" t="inlineStr">
        <is>
          <t>Vinculado al pago de obras por impuestos</t>
        </is>
      </c>
      <c r="D16" s="86">
        <f>IFERROR(INDEX(LIQUIDACION_110!$D:$D,MATCH(A16,LIQUIDACION_110!$A:$A,0)),0)</f>
        <v/>
      </c>
      <c r="E16" s="2" t="n"/>
      <c r="F16" s="2" t="n"/>
      <c r="G16" s="2" t="n"/>
      <c r="H16" s="2" t="n"/>
    </row>
    <row r="17">
      <c r="A17" s="8" t="n">
        <v>33</v>
      </c>
      <c r="B17" s="32">
        <f>IFERROR(INDEX(LIQUIDACION_110!$B:$B,MATCH(A17,LIQUIDACION_110!$A:$A,0)),"")</f>
        <v/>
      </c>
      <c r="C17" s="10" t="inlineStr">
        <is>
          <t>Total costos y gastos de nómina</t>
        </is>
      </c>
      <c r="D17" s="16">
        <f>IFERROR(INDEX(LIQUIDACION_110!$D:$D,MATCH(A17,LIQUIDACION_110!$A:$A,0)),0)</f>
        <v/>
      </c>
      <c r="E17" s="2" t="n"/>
      <c r="F17" s="2" t="n"/>
      <c r="G17" s="2" t="n"/>
      <c r="H17" s="2" t="n"/>
    </row>
    <row r="18">
      <c r="A18" s="8" t="n">
        <v>34</v>
      </c>
      <c r="B18" s="32">
        <f>IFERROR(INDEX(LIQUIDACION_110!$B:$B,MATCH(A18,LIQUIDACION_110!$A:$A,0)),"")</f>
        <v/>
      </c>
      <c r="C18" s="10" t="inlineStr">
        <is>
          <t>Aportes al sistema de seguridad social</t>
        </is>
      </c>
      <c r="D18" s="16">
        <f>IFERROR(INDEX(LIQUIDACION_110!$D:$D,MATCH(A18,LIQUIDACION_110!$A:$A,0)),0)</f>
        <v/>
      </c>
      <c r="E18" s="2" t="n"/>
      <c r="F18" s="2" t="n"/>
      <c r="G18" s="2" t="n"/>
      <c r="H18" s="2" t="n"/>
    </row>
    <row r="19">
      <c r="A19" s="8" t="n">
        <v>35</v>
      </c>
      <c r="B19" s="32">
        <f>IFERROR(INDEX(LIQUIDACION_110!$B:$B,MATCH(A19,LIQUIDACION_110!$A:$A,0)),"")</f>
        <v/>
      </c>
      <c r="C19" s="10" t="inlineStr">
        <is>
          <t>Aportes al SENA, ICBF y cajas de compensación</t>
        </is>
      </c>
      <c r="D19" s="16">
        <f>IFERROR(INDEX(LIQUIDACION_110!$D:$D,MATCH(A19,LIQUIDACION_110!$A:$A,0)),0)</f>
        <v/>
      </c>
      <c r="E19" s="2" t="n"/>
      <c r="F19" s="2" t="n"/>
      <c r="G19" s="2" t="n"/>
      <c r="H19" s="2" t="n"/>
    </row>
    <row r="20">
      <c r="A20" s="8" t="n">
        <v>36</v>
      </c>
      <c r="B20" s="32">
        <f>IFERROR(INDEX(LIQUIDACION_110!$B:$B,MATCH(A20,LIQUIDACION_110!$A:$A,0)),"")</f>
        <v/>
      </c>
      <c r="C20" s="10" t="inlineStr">
        <is>
          <t>Efectivo y equivalentes al efectivo</t>
        </is>
      </c>
      <c r="D20" s="16">
        <f>IFERROR(INDEX(LIQUIDACION_110!$D:$D,MATCH(A20,LIQUIDACION_110!$A:$A,0)),0)</f>
        <v/>
      </c>
      <c r="E20" s="2" t="n"/>
      <c r="F20" s="2" t="n"/>
      <c r="G20" s="2" t="n"/>
      <c r="H20" s="2" t="n"/>
    </row>
    <row r="21">
      <c r="A21" s="8" t="n">
        <v>37</v>
      </c>
      <c r="B21" s="32">
        <f>IFERROR(INDEX(LIQUIDACION_110!$B:$B,MATCH(A21,LIQUIDACION_110!$A:$A,0)),"")</f>
        <v/>
      </c>
      <c r="C21" s="10" t="inlineStr">
        <is>
          <t>Inversiones e instrumentos financieros derivados</t>
        </is>
      </c>
      <c r="D21" s="16">
        <f>IFERROR(INDEX(LIQUIDACION_110!$D:$D,MATCH(A21,LIQUIDACION_110!$A:$A,0)),0)</f>
        <v/>
      </c>
      <c r="E21" s="2" t="n"/>
      <c r="F21" s="2" t="n"/>
      <c r="G21" s="2" t="n"/>
      <c r="H21" s="2" t="n"/>
    </row>
    <row r="22">
      <c r="A22" s="8" t="n">
        <v>38</v>
      </c>
      <c r="B22" s="32">
        <f>IFERROR(INDEX(LIQUIDACION_110!$B:$B,MATCH(A22,LIQUIDACION_110!$A:$A,0)),"")</f>
        <v/>
      </c>
      <c r="C22" s="10" t="inlineStr">
        <is>
          <t>Cuentas, documentos y arrendamientos financieros por cobrar</t>
        </is>
      </c>
      <c r="D22" s="16">
        <f>IFERROR(INDEX(LIQUIDACION_110!$D:$D,MATCH(A22,LIQUIDACION_110!$A:$A,0)),0)</f>
        <v/>
      </c>
      <c r="E22" s="2" t="n"/>
      <c r="F22" s="2" t="n"/>
      <c r="G22" s="2" t="n"/>
      <c r="H22" s="2" t="n"/>
    </row>
    <row r="23">
      <c r="A23" s="8" t="n">
        <v>39</v>
      </c>
      <c r="B23" s="32">
        <f>IFERROR(INDEX(LIQUIDACION_110!$B:$B,MATCH(A23,LIQUIDACION_110!$A:$A,0)),"")</f>
        <v/>
      </c>
      <c r="C23" s="10" t="inlineStr">
        <is>
          <t>Inventarios</t>
        </is>
      </c>
      <c r="D23" s="16">
        <f>IFERROR(INDEX(LIQUIDACION_110!$D:$D,MATCH(A23,LIQUIDACION_110!$A:$A,0)),0)</f>
        <v/>
      </c>
      <c r="E23" s="2" t="n"/>
      <c r="F23" s="2" t="n"/>
      <c r="G23" s="2" t="n"/>
      <c r="H23" s="2" t="n"/>
    </row>
    <row r="24">
      <c r="A24" s="8" t="n">
        <v>40</v>
      </c>
      <c r="B24" s="32">
        <f>IFERROR(INDEX(LIQUIDACION_110!$B:$B,MATCH(A24,LIQUIDACION_110!$A:$A,0)),"")</f>
        <v/>
      </c>
      <c r="C24" s="10" t="inlineStr">
        <is>
          <t>Activos intangibles</t>
        </is>
      </c>
      <c r="D24" s="16">
        <f>IFERROR(INDEX(LIQUIDACION_110!$D:$D,MATCH(A24,LIQUIDACION_110!$A:$A,0)),0)</f>
        <v/>
      </c>
      <c r="E24" s="2" t="n"/>
      <c r="F24" s="2" t="n"/>
      <c r="G24" s="2" t="n"/>
      <c r="H24" s="2" t="n"/>
    </row>
    <row r="25">
      <c r="A25" s="8" t="n">
        <v>41</v>
      </c>
      <c r="B25" s="32">
        <f>IFERROR(INDEX(LIQUIDACION_110!$B:$B,MATCH(A25,LIQUIDACION_110!$A:$A,0)),"")</f>
        <v/>
      </c>
      <c r="C25" s="10" t="inlineStr">
        <is>
          <t>Activos biológicos</t>
        </is>
      </c>
      <c r="D25" s="16">
        <f>IFERROR(INDEX(LIQUIDACION_110!$D:$D,MATCH(A25,LIQUIDACION_110!$A:$A,0)),0)</f>
        <v/>
      </c>
      <c r="E25" s="2" t="n"/>
      <c r="F25" s="2" t="n"/>
      <c r="G25" s="2" t="n"/>
      <c r="H25" s="2" t="n"/>
    </row>
    <row r="26">
      <c r="A26" s="8" t="n">
        <v>42</v>
      </c>
      <c r="B26" s="32">
        <f>IFERROR(INDEX(LIQUIDACION_110!$B:$B,MATCH(A26,LIQUIDACION_110!$A:$A,0)),"")</f>
        <v/>
      </c>
      <c r="C26" s="10" t="inlineStr">
        <is>
          <t>Propiedades, planta y equipo, propiedades de inversión y ANCMV</t>
        </is>
      </c>
      <c r="D26" s="16">
        <f>IFERROR(INDEX(LIQUIDACION_110!$D:$D,MATCH(A26,LIQUIDACION_110!$A:$A,0)),0)</f>
        <v/>
      </c>
      <c r="E26" s="2" t="n"/>
      <c r="F26" s="2" t="n"/>
      <c r="G26" s="2" t="n"/>
      <c r="H26" s="2" t="n"/>
    </row>
    <row r="27">
      <c r="A27" s="8" t="n">
        <v>43</v>
      </c>
      <c r="B27" s="32">
        <f>IFERROR(INDEX(LIQUIDACION_110!$B:$B,MATCH(A27,LIQUIDACION_110!$A:$A,0)),"")</f>
        <v/>
      </c>
      <c r="C27" s="10" t="inlineStr">
        <is>
          <t>Otros activos</t>
        </is>
      </c>
      <c r="D27" s="16">
        <f>IFERROR(INDEX(LIQUIDACION_110!$D:$D,MATCH(A27,LIQUIDACION_110!$A:$A,0)),0)</f>
        <v/>
      </c>
      <c r="E27" s="2" t="n"/>
      <c r="F27" s="2" t="n"/>
      <c r="G27" s="2" t="n"/>
      <c r="H27" s="2" t="n"/>
    </row>
    <row r="28">
      <c r="A28" s="8" t="n">
        <v>44</v>
      </c>
      <c r="B28" s="32">
        <f>IFERROR(INDEX(LIQUIDACION_110!$B:$B,MATCH(A28,LIQUIDACION_110!$A:$A,0)),"")</f>
        <v/>
      </c>
      <c r="C28" s="10" t="inlineStr">
        <is>
          <t>Total patrimonio bruto</t>
        </is>
      </c>
      <c r="D28" s="16">
        <f>IFERROR(INDEX(LIQUIDACION_110!$D:$D,MATCH(A28,LIQUIDACION_110!$A:$A,0)),0)</f>
        <v/>
      </c>
      <c r="E28" s="2" t="n"/>
      <c r="F28" s="2" t="n"/>
      <c r="G28" s="2" t="n"/>
      <c r="H28" s="2" t="n"/>
    </row>
    <row r="29">
      <c r="A29" s="8" t="n">
        <v>45</v>
      </c>
      <c r="B29" s="32">
        <f>IFERROR(INDEX(LIQUIDACION_110!$B:$B,MATCH(A29,LIQUIDACION_110!$A:$A,0)),"")</f>
        <v/>
      </c>
      <c r="C29" s="10" t="inlineStr">
        <is>
          <t>Pasivos</t>
        </is>
      </c>
      <c r="D29" s="16">
        <f>IFERROR(INDEX(LIQUIDACION_110!$D:$D,MATCH(A29,LIQUIDACION_110!$A:$A,0)),0)</f>
        <v/>
      </c>
      <c r="E29" s="2" t="n"/>
      <c r="F29" s="2" t="n"/>
      <c r="G29" s="2" t="n"/>
      <c r="H29" s="2" t="n"/>
    </row>
    <row r="30">
      <c r="A30" s="8" t="n">
        <v>46</v>
      </c>
      <c r="B30" s="32">
        <f>IFERROR(INDEX(LIQUIDACION_110!$B:$B,MATCH(A30,LIQUIDACION_110!$A:$A,0)),"")</f>
        <v/>
      </c>
      <c r="C30" s="10" t="inlineStr">
        <is>
          <t>Total patrimonio líquido</t>
        </is>
      </c>
      <c r="D30" s="16">
        <f>IFERROR(INDEX(LIQUIDACION_110!$D:$D,MATCH(A30,LIQUIDACION_110!$A:$A,0)),0)</f>
        <v/>
      </c>
      <c r="E30" s="2" t="n"/>
      <c r="F30" s="2" t="n"/>
      <c r="G30" s="2" t="n"/>
      <c r="H30" s="2" t="n"/>
    </row>
    <row r="31">
      <c r="A31" s="8" t="n">
        <v>47</v>
      </c>
      <c r="B31" s="32">
        <f>IFERROR(INDEX(LIQUIDACION_110!$B:$B,MATCH(A31,LIQUIDACION_110!$A:$A,0)),"")</f>
        <v/>
      </c>
      <c r="C31" s="10" t="inlineStr">
        <is>
          <t>Ingresos brutos de actividades ordinarias</t>
        </is>
      </c>
      <c r="D31" s="16">
        <f>IFERROR(INDEX(LIQUIDACION_110!$D:$D,MATCH(A31,LIQUIDACION_110!$A:$A,0)),0)</f>
        <v/>
      </c>
      <c r="E31" s="2" t="n"/>
      <c r="F31" s="2" t="n"/>
      <c r="G31" s="2" t="n"/>
      <c r="H31" s="2" t="n"/>
    </row>
    <row r="32">
      <c r="A32" s="8" t="n">
        <v>48</v>
      </c>
      <c r="B32" s="32">
        <f>IFERROR(INDEX(LIQUIDACION_110!$B:$B,MATCH(A32,LIQUIDACION_110!$A:$A,0)),"")</f>
        <v/>
      </c>
      <c r="C32" s="10" t="inlineStr">
        <is>
          <t>Ingresos financieros</t>
        </is>
      </c>
      <c r="D32" s="16">
        <f>IFERROR(INDEX(LIQUIDACION_110!$D:$D,MATCH(A32,LIQUIDACION_110!$A:$A,0)),0)</f>
        <v/>
      </c>
      <c r="E32" s="2" t="n"/>
      <c r="F32" s="2" t="n"/>
      <c r="G32" s="2" t="n"/>
      <c r="H32" s="2" t="n"/>
    </row>
    <row r="33">
      <c r="A33" s="8" t="n">
        <v>49</v>
      </c>
      <c r="B33" s="32">
        <f>IFERROR(INDEX(LIQUIDACION_110!$B:$B,MATCH(A33,LIQUIDACION_110!$A:$A,0)),"")</f>
        <v/>
      </c>
      <c r="C33" s="10" t="inlineStr">
        <is>
          <t>Dividendos y participaciones no constitutivos de renta ni GO</t>
        </is>
      </c>
      <c r="D33" s="16">
        <f>IFERROR(INDEX(LIQUIDACION_110!$D:$D,MATCH(A33,LIQUIDACION_110!$A:$A,0)),0)</f>
        <v/>
      </c>
      <c r="E33" s="2" t="n"/>
      <c r="F33" s="2" t="n"/>
      <c r="G33" s="2" t="n"/>
      <c r="H33" s="2" t="n"/>
    </row>
    <row r="34">
      <c r="A34" s="8" t="n">
        <v>50</v>
      </c>
      <c r="B34" s="32">
        <f>IFERROR(INDEX(LIQUIDACION_110!$B:$B,MATCH(A34,LIQUIDACION_110!$A:$A,0)),"")</f>
        <v/>
      </c>
      <c r="C34" s="10" t="inlineStr">
        <is>
          <t>Dividendos distribuidos por entidades no residentes a una CHC y prima en colocación</t>
        </is>
      </c>
      <c r="D34" s="16">
        <f>IFERROR(INDEX(LIQUIDACION_110!$D:$D,MATCH(A34,LIQUIDACION_110!$A:$A,0)),0)</f>
        <v/>
      </c>
      <c r="E34" s="2" t="n"/>
      <c r="F34" s="2" t="n"/>
      <c r="G34" s="2" t="n"/>
      <c r="H34" s="2" t="n"/>
    </row>
    <row r="35">
      <c r="A35" s="8" t="n">
        <v>51</v>
      </c>
      <c r="B35" s="32">
        <f>IFERROR(INDEX(LIQUIDACION_110!$B:$B,MATCH(A35,LIQUIDACION_110!$A:$A,0)),"")</f>
        <v/>
      </c>
      <c r="C35" s="10" t="inlineStr">
        <is>
          <t>Dividendos gravados a tarifa general provenientes de sociedades y entidades extranjeras o nacionales</t>
        </is>
      </c>
      <c r="D35" s="16">
        <f>IFERROR(INDEX(LIQUIDACION_110!$D:$D,MATCH(A35,LIQUIDACION_110!$A:$A,0)),0)</f>
        <v/>
      </c>
      <c r="E35" s="2" t="n"/>
      <c r="F35" s="2" t="n"/>
      <c r="G35" s="2" t="n"/>
      <c r="H35" s="2" t="n"/>
    </row>
    <row r="36">
      <c r="A36" s="8" t="n">
        <v>52</v>
      </c>
      <c r="B36" s="32">
        <f>IFERROR(INDEX(LIQUIDACION_110!$B:$B,MATCH(A36,LIQUIDACION_110!$A:$A,0)),"")</f>
        <v/>
      </c>
      <c r="C36" s="10" t="inlineStr">
        <is>
          <t>Dividendos gravados recibidos por personas naturales sin residencia fiscal (2016 y anteriores)</t>
        </is>
      </c>
      <c r="D36" s="16">
        <f>IFERROR(INDEX(LIQUIDACION_110!$D:$D,MATCH(A36,LIQUIDACION_110!$A:$A,0)),0)</f>
        <v/>
      </c>
      <c r="E36" s="2" t="n"/>
      <c r="F36" s="2" t="n"/>
      <c r="G36" s="2" t="n"/>
      <c r="H36" s="2" t="n"/>
    </row>
    <row r="37">
      <c r="A37" s="8" t="n">
        <v>53</v>
      </c>
      <c r="B37" s="32">
        <f>IFERROR(INDEX(LIQUIDACION_110!$B:$B,MATCH(A37,LIQUIDACION_110!$A:$A,0)),"")</f>
        <v/>
      </c>
      <c r="C37" s="10" t="inlineStr">
        <is>
          <t>Dividendos gravados recibidos por personas naturales sin residencia fiscal (2017 y siguientes)</t>
        </is>
      </c>
      <c r="D37" s="16">
        <f>IFERROR(INDEX(LIQUIDACION_110!$D:$D,MATCH(A37,LIQUIDACION_110!$A:$A,0)),0)</f>
        <v/>
      </c>
      <c r="E37" s="2" t="n"/>
      <c r="F37" s="2" t="n"/>
      <c r="G37" s="2" t="n"/>
      <c r="H37" s="2" t="n"/>
    </row>
    <row r="38">
      <c r="A38" s="8" t="n">
        <v>54</v>
      </c>
      <c r="B38" s="32">
        <f>IFERROR(INDEX(LIQUIDACION_110!$B:$B,MATCH(A38,LIQUIDACION_110!$A:$A,0)),"")</f>
        <v/>
      </c>
      <c r="C38" s="10" t="inlineStr">
        <is>
          <t>Dividendos gravados a las tarifas de los artículos 245 o 246 E.T.</t>
        </is>
      </c>
      <c r="D38" s="16">
        <f>IFERROR(INDEX(LIQUIDACION_110!$D:$D,MATCH(A38,LIQUIDACION_110!$A:$A,0)),0)</f>
        <v/>
      </c>
      <c r="E38" s="2" t="n"/>
      <c r="F38" s="2" t="n"/>
      <c r="G38" s="2" t="n"/>
      <c r="H38" s="2" t="n"/>
    </row>
    <row r="39">
      <c r="A39" s="8" t="n">
        <v>55</v>
      </c>
      <c r="B39" s="32">
        <f>IFERROR(INDEX(LIQUIDACION_110!$B:$B,MATCH(A39,LIQUIDACION_110!$A:$A,0)),"")</f>
        <v/>
      </c>
      <c r="C39" s="10" t="inlineStr">
        <is>
          <t>Dividendos gravados a tarifa general (EP y sociedades extranjeras)</t>
        </is>
      </c>
      <c r="D39" s="16">
        <f>IFERROR(INDEX(LIQUIDACION_110!$D:$D,MATCH(A39,LIQUIDACION_110!$A:$A,0)),0)</f>
        <v/>
      </c>
      <c r="E39" s="2" t="n"/>
      <c r="F39" s="2" t="n"/>
      <c r="G39" s="2" t="n"/>
      <c r="H39" s="2" t="n"/>
    </row>
    <row r="40">
      <c r="A40" s="8" t="n">
        <v>56</v>
      </c>
      <c r="B40" s="32">
        <f>IFERROR(INDEX(LIQUIDACION_110!$B:$B,MATCH(A40,LIQUIDACION_110!$A:$A,0)),"")</f>
        <v/>
      </c>
      <c r="C40" s="10" t="inlineStr">
        <is>
          <t>Dividendos provenientes de megainversión gravados al 27%</t>
        </is>
      </c>
      <c r="D40" s="16">
        <f>IFERROR(INDEX(LIQUIDACION_110!$D:$D,MATCH(A40,LIQUIDACION_110!$A:$A,0)),0)</f>
        <v/>
      </c>
      <c r="E40" s="2" t="n"/>
      <c r="F40" s="2" t="n"/>
      <c r="G40" s="2" t="n"/>
      <c r="H40" s="2" t="n"/>
    </row>
    <row r="41">
      <c r="A41" s="8" t="n">
        <v>57</v>
      </c>
      <c r="B41" s="32">
        <f>IFERROR(INDEX(LIQUIDACION_110!$B:$B,MATCH(A41,LIQUIDACION_110!$A:$A,0)),"")</f>
        <v/>
      </c>
      <c r="C41" s="10" t="inlineStr">
        <is>
          <t>Otros ingresos</t>
        </is>
      </c>
      <c r="D41" s="16">
        <f>IFERROR(INDEX(LIQUIDACION_110!$D:$D,MATCH(A41,LIQUIDACION_110!$A:$A,0)),0)</f>
        <v/>
      </c>
      <c r="E41" s="2" t="n"/>
      <c r="F41" s="2" t="n"/>
      <c r="G41" s="2" t="n"/>
      <c r="H41" s="2" t="n"/>
    </row>
    <row r="42">
      <c r="A42" s="8" t="n">
        <v>58</v>
      </c>
      <c r="B42" s="32">
        <f>IFERROR(INDEX(LIQUIDACION_110!$B:$B,MATCH(A42,LIQUIDACION_110!$A:$A,0)),"")</f>
        <v/>
      </c>
      <c r="C42" s="10" t="inlineStr">
        <is>
          <t>Total ingresos brutos</t>
        </is>
      </c>
      <c r="D42" s="16">
        <f>IFERROR(INDEX(LIQUIDACION_110!$D:$D,MATCH(A42,LIQUIDACION_110!$A:$A,0)),0)</f>
        <v/>
      </c>
      <c r="E42" s="2" t="n"/>
      <c r="F42" s="2" t="n"/>
      <c r="G42" s="2" t="n"/>
      <c r="H42" s="2" t="n"/>
    </row>
    <row r="43">
      <c r="A43" s="8" t="n">
        <v>59</v>
      </c>
      <c r="B43" s="32">
        <f>IFERROR(INDEX(LIQUIDACION_110!$B:$B,MATCH(A43,LIQUIDACION_110!$A:$A,0)),"")</f>
        <v/>
      </c>
      <c r="C43" s="10" t="inlineStr">
        <is>
          <t>Devoluciones, rebajas y descuentos en ventas</t>
        </is>
      </c>
      <c r="D43" s="16">
        <f>IFERROR(INDEX(LIQUIDACION_110!$D:$D,MATCH(A43,LIQUIDACION_110!$A:$A,0)),0)</f>
        <v/>
      </c>
      <c r="E43" s="2" t="n"/>
      <c r="F43" s="2" t="n"/>
      <c r="G43" s="2" t="n"/>
      <c r="H43" s="2" t="n"/>
    </row>
    <row r="44">
      <c r="A44" s="8" t="n">
        <v>60</v>
      </c>
      <c r="B44" s="32">
        <f>IFERROR(INDEX(LIQUIDACION_110!$B:$B,MATCH(A44,LIQUIDACION_110!$A:$A,0)),"")</f>
        <v/>
      </c>
      <c r="C44" s="10" t="inlineStr">
        <is>
          <t>Ingresos no constitutivos de renta ni ganancia ocasional</t>
        </is>
      </c>
      <c r="D44" s="16">
        <f>IFERROR(INDEX(LIQUIDACION_110!$D:$D,MATCH(A44,LIQUIDACION_110!$A:$A,0)),0)</f>
        <v/>
      </c>
      <c r="E44" s="2" t="n"/>
      <c r="F44" s="2" t="n"/>
      <c r="G44" s="2" t="n"/>
      <c r="H44" s="2" t="n"/>
    </row>
    <row r="45">
      <c r="A45" s="8" t="n">
        <v>61</v>
      </c>
      <c r="B45" s="32">
        <f>IFERROR(INDEX(LIQUIDACION_110!$B:$B,MATCH(A45,LIQUIDACION_110!$A:$A,0)),"")</f>
        <v/>
      </c>
      <c r="C45" s="10" t="inlineStr">
        <is>
          <t>Total ingresos netos</t>
        </is>
      </c>
      <c r="D45" s="16">
        <f>IFERROR(INDEX(LIQUIDACION_110!$D:$D,MATCH(A45,LIQUIDACION_110!$A:$A,0)),0)</f>
        <v/>
      </c>
      <c r="E45" s="2" t="n"/>
      <c r="F45" s="2" t="n"/>
      <c r="G45" s="2" t="n"/>
      <c r="H45" s="2" t="n"/>
    </row>
    <row r="46">
      <c r="A46" s="8" t="n">
        <v>62</v>
      </c>
      <c r="B46" s="32">
        <f>IFERROR(INDEX(LIQUIDACION_110!$B:$B,MATCH(A46,LIQUIDACION_110!$A:$A,0)),"")</f>
        <v/>
      </c>
      <c r="C46" s="10" t="inlineStr">
        <is>
          <t>Costos</t>
        </is>
      </c>
      <c r="D46" s="16">
        <f>IFERROR(INDEX(LIQUIDACION_110!$D:$D,MATCH(A46,LIQUIDACION_110!$A:$A,0)),0)</f>
        <v/>
      </c>
      <c r="E46" s="2" t="n"/>
      <c r="F46" s="2" t="n"/>
      <c r="G46" s="2" t="n"/>
      <c r="H46" s="2" t="n"/>
    </row>
    <row r="47">
      <c r="A47" s="8" t="n">
        <v>63</v>
      </c>
      <c r="B47" s="32">
        <f>IFERROR(INDEX(LIQUIDACION_110!$B:$B,MATCH(A47,LIQUIDACION_110!$A:$A,0)),"")</f>
        <v/>
      </c>
      <c r="C47" s="10" t="inlineStr">
        <is>
          <t>Gastos de administración</t>
        </is>
      </c>
      <c r="D47" s="16">
        <f>IFERROR(INDEX(LIQUIDACION_110!$D:$D,MATCH(A47,LIQUIDACION_110!$A:$A,0)),0)</f>
        <v/>
      </c>
      <c r="E47" s="2" t="n"/>
      <c r="F47" s="2" t="n"/>
      <c r="G47" s="2" t="n"/>
      <c r="H47" s="2" t="n"/>
    </row>
    <row r="48">
      <c r="A48" s="8" t="n">
        <v>64</v>
      </c>
      <c r="B48" s="32">
        <f>IFERROR(INDEX(LIQUIDACION_110!$B:$B,MATCH(A48,LIQUIDACION_110!$A:$A,0)),"")</f>
        <v/>
      </c>
      <c r="C48" s="10" t="inlineStr">
        <is>
          <t>Gastos de distribución y ventas</t>
        </is>
      </c>
      <c r="D48" s="16">
        <f>IFERROR(INDEX(LIQUIDACION_110!$D:$D,MATCH(A48,LIQUIDACION_110!$A:$A,0)),0)</f>
        <v/>
      </c>
      <c r="E48" s="2" t="n"/>
      <c r="F48" s="2" t="n"/>
      <c r="G48" s="2" t="n"/>
      <c r="H48" s="2" t="n"/>
    </row>
    <row r="49">
      <c r="A49" s="8" t="n">
        <v>65</v>
      </c>
      <c r="B49" s="32">
        <f>IFERROR(INDEX(LIQUIDACION_110!$B:$B,MATCH(A49,LIQUIDACION_110!$A:$A,0)),"")</f>
        <v/>
      </c>
      <c r="C49" s="10" t="inlineStr">
        <is>
          <t>Gastos financieros</t>
        </is>
      </c>
      <c r="D49" s="16">
        <f>IFERROR(INDEX(LIQUIDACION_110!$D:$D,MATCH(A49,LIQUIDACION_110!$A:$A,0)),0)</f>
        <v/>
      </c>
      <c r="E49" s="2" t="n"/>
      <c r="F49" s="2" t="n"/>
      <c r="G49" s="2" t="n"/>
      <c r="H49" s="2" t="n"/>
    </row>
    <row r="50">
      <c r="A50" s="8" t="n">
        <v>66</v>
      </c>
      <c r="B50" s="32">
        <f>IFERROR(INDEX(LIQUIDACION_110!$B:$B,MATCH(A50,LIQUIDACION_110!$A:$A,0)),"")</f>
        <v/>
      </c>
      <c r="C50" s="10" t="inlineStr">
        <is>
          <t>Otros gastos y deducciones</t>
        </is>
      </c>
      <c r="D50" s="16">
        <f>IFERROR(INDEX(LIQUIDACION_110!$D:$D,MATCH(A50,LIQUIDACION_110!$A:$A,0)),0)</f>
        <v/>
      </c>
      <c r="E50" s="2" t="n"/>
      <c r="F50" s="2" t="n"/>
      <c r="G50" s="2" t="n"/>
      <c r="H50" s="2" t="n"/>
    </row>
    <row r="51">
      <c r="A51" s="8" t="n">
        <v>67</v>
      </c>
      <c r="B51" s="32">
        <f>IFERROR(INDEX(LIQUIDACION_110!$B:$B,MATCH(A51,LIQUIDACION_110!$A:$A,0)),"")</f>
        <v/>
      </c>
      <c r="C51" s="10" t="inlineStr">
        <is>
          <t>Total costos y gastos deducibles</t>
        </is>
      </c>
      <c r="D51" s="16">
        <f>IFERROR(INDEX(LIQUIDACION_110!$D:$D,MATCH(A51,LIQUIDACION_110!$A:$A,0)),0)</f>
        <v/>
      </c>
      <c r="E51" s="2" t="n"/>
      <c r="F51" s="2" t="n"/>
      <c r="G51" s="2" t="n"/>
      <c r="H51" s="2" t="n"/>
    </row>
    <row r="52">
      <c r="A52" s="8" t="n">
        <v>68</v>
      </c>
      <c r="B52" s="32">
        <f>IFERROR(INDEX(LIQUIDACION_110!$B:$B,MATCH(A52,LIQUIDACION_110!$A:$A,0)),"")</f>
        <v/>
      </c>
      <c r="C52" s="10" t="inlineStr">
        <is>
          <t>Inversiones efectuadas en el año (RTE)</t>
        </is>
      </c>
      <c r="D52" s="16">
        <f>IFERROR(INDEX(LIQUIDACION_110!$D:$D,MATCH(A52,LIQUIDACION_110!$A:$A,0)),0)</f>
        <v/>
      </c>
      <c r="E52" s="2" t="n"/>
      <c r="F52" s="2" t="n"/>
      <c r="G52" s="2" t="n"/>
      <c r="H52" s="2" t="n"/>
    </row>
    <row r="53">
      <c r="A53" s="8" t="n">
        <v>69</v>
      </c>
      <c r="B53" s="32">
        <f>IFERROR(INDEX(LIQUIDACION_110!$B:$B,MATCH(A53,LIQUIDACION_110!$A:$A,0)),"")</f>
        <v/>
      </c>
      <c r="C53" s="10" t="inlineStr">
        <is>
          <t>Inversiones liquidadas de períodos anteriores (RTE)</t>
        </is>
      </c>
      <c r="D53" s="16">
        <f>IFERROR(INDEX(LIQUIDACION_110!$D:$D,MATCH(A53,LIQUIDACION_110!$A:$A,0)),0)</f>
        <v/>
      </c>
      <c r="E53" s="2" t="n"/>
      <c r="F53" s="2" t="n"/>
      <c r="G53" s="2" t="n"/>
      <c r="H53" s="2" t="n"/>
    </row>
    <row r="54">
      <c r="A54" s="8" t="n">
        <v>70</v>
      </c>
      <c r="B54" s="32">
        <f>IFERROR(INDEX(LIQUIDACION_110!$B:$B,MATCH(A54,LIQUIDACION_110!$A:$A,0)),"")</f>
        <v/>
      </c>
      <c r="C54" s="10" t="inlineStr">
        <is>
          <t>Renta por recuperación de deducciones</t>
        </is>
      </c>
      <c r="D54" s="16">
        <f>IFERROR(INDEX(LIQUIDACION_110!$D:$D,MATCH(A54,LIQUIDACION_110!$A:$A,0)),0)</f>
        <v/>
      </c>
      <c r="E54" s="2" t="n"/>
      <c r="F54" s="2" t="n"/>
      <c r="G54" s="2" t="n"/>
      <c r="H54" s="2" t="n"/>
    </row>
    <row r="55">
      <c r="A55" s="8" t="n">
        <v>71</v>
      </c>
      <c r="B55" s="32">
        <f>IFERROR(INDEX(LIQUIDACION_110!$B:$B,MATCH(A55,LIQUIDACION_110!$A:$A,0)),"")</f>
        <v/>
      </c>
      <c r="C55" s="10" t="inlineStr">
        <is>
          <t>Renta pasiva ECE sin residencia fiscal en Colombia</t>
        </is>
      </c>
      <c r="D55" s="16">
        <f>IFERROR(INDEX(LIQUIDACION_110!$D:$D,MATCH(A55,LIQUIDACION_110!$A:$A,0)),0)</f>
        <v/>
      </c>
      <c r="E55" s="2" t="n"/>
      <c r="F55" s="2" t="n"/>
      <c r="G55" s="2" t="n"/>
      <c r="H55" s="2" t="n"/>
    </row>
    <row r="56">
      <c r="A56" s="8" t="n">
        <v>72</v>
      </c>
      <c r="B56" s="32">
        <f>IFERROR(INDEX(LIQUIDACION_110!$B:$B,MATCH(A56,LIQUIDACION_110!$A:$A,0)),"")</f>
        <v/>
      </c>
      <c r="C56" s="10" t="inlineStr">
        <is>
          <t>Renta líquida ordinaria del ejercicio</t>
        </is>
      </c>
      <c r="D56" s="16">
        <f>IFERROR(INDEX(LIQUIDACION_110!$D:$D,MATCH(A56,LIQUIDACION_110!$A:$A,0)),0)</f>
        <v/>
      </c>
      <c r="E56" s="2" t="n"/>
      <c r="F56" s="2" t="n"/>
      <c r="G56" s="2" t="n"/>
      <c r="H56" s="2" t="n"/>
    </row>
    <row r="57">
      <c r="A57" s="8" t="n">
        <v>73</v>
      </c>
      <c r="B57" s="32">
        <f>IFERROR(INDEX(LIQUIDACION_110!$B:$B,MATCH(A57,LIQUIDACION_110!$A:$A,0)),"")</f>
        <v/>
      </c>
      <c r="C57" s="10" t="inlineStr">
        <is>
          <t>Pérdida líquida del ejercicio</t>
        </is>
      </c>
      <c r="D57" s="16">
        <f>IFERROR(INDEX(LIQUIDACION_110!$D:$D,MATCH(A57,LIQUIDACION_110!$A:$A,0)),0)</f>
        <v/>
      </c>
      <c r="E57" s="2" t="n"/>
      <c r="F57" s="2" t="n"/>
      <c r="G57" s="2" t="n"/>
      <c r="H57" s="2" t="n"/>
    </row>
    <row r="58">
      <c r="A58" s="8" t="n">
        <v>74</v>
      </c>
      <c r="B58" s="32">
        <f>IFERROR(INDEX(LIQUIDACION_110!$B:$B,MATCH(A58,LIQUIDACION_110!$A:$A,0)),"")</f>
        <v/>
      </c>
      <c r="C58" s="10" t="inlineStr">
        <is>
          <t>Compensaciones</t>
        </is>
      </c>
      <c r="D58" s="16">
        <f>IFERROR(INDEX(LIQUIDACION_110!$D:$D,MATCH(A58,LIQUIDACION_110!$A:$A,0)),0)</f>
        <v/>
      </c>
      <c r="E58" s="2" t="n"/>
      <c r="F58" s="2" t="n"/>
      <c r="G58" s="2" t="n"/>
      <c r="H58" s="2" t="n"/>
    </row>
    <row r="59">
      <c r="A59" s="8" t="n">
        <v>75</v>
      </c>
      <c r="B59" s="32">
        <f>IFERROR(INDEX(LIQUIDACION_110!$B:$B,MATCH(A59,LIQUIDACION_110!$A:$A,0)),"")</f>
        <v/>
      </c>
      <c r="C59" s="10" t="inlineStr">
        <is>
          <t>Renta líquida</t>
        </is>
      </c>
      <c r="D59" s="16">
        <f>IFERROR(INDEX(LIQUIDACION_110!$D:$D,MATCH(A59,LIQUIDACION_110!$A:$A,0)),0)</f>
        <v/>
      </c>
      <c r="E59" s="2" t="n"/>
      <c r="F59" s="2" t="n"/>
      <c r="G59" s="2" t="n"/>
      <c r="H59" s="2" t="n"/>
    </row>
    <row r="60">
      <c r="A60" s="8" t="n">
        <v>76</v>
      </c>
      <c r="B60" s="32">
        <f>IFERROR(INDEX(LIQUIDACION_110!$B:$B,MATCH(A60,LIQUIDACION_110!$A:$A,0)),"")</f>
        <v/>
      </c>
      <c r="C60" s="10" t="inlineStr">
        <is>
          <t>Renta presuntiva</t>
        </is>
      </c>
      <c r="D60" s="16">
        <f>IFERROR(INDEX(LIQUIDACION_110!$D:$D,MATCH(A60,LIQUIDACION_110!$A:$A,0)),0)</f>
        <v/>
      </c>
      <c r="E60" s="2" t="n"/>
      <c r="F60" s="2" t="n"/>
      <c r="G60" s="2" t="n"/>
      <c r="H60" s="2" t="n"/>
    </row>
    <row r="61">
      <c r="A61" s="8" t="n">
        <v>77</v>
      </c>
      <c r="B61" s="32">
        <f>IFERROR(INDEX(LIQUIDACION_110!$B:$B,MATCH(A61,LIQUIDACION_110!$A:$A,0)),"")</f>
        <v/>
      </c>
      <c r="C61" s="10" t="inlineStr">
        <is>
          <t>Renta exenta</t>
        </is>
      </c>
      <c r="D61" s="16">
        <f>IFERROR(INDEX(LIQUIDACION_110!$D:$D,MATCH(A61,LIQUIDACION_110!$A:$A,0)),0)</f>
        <v/>
      </c>
      <c r="E61" s="2" t="n"/>
      <c r="F61" s="2" t="n"/>
      <c r="G61" s="2" t="n"/>
      <c r="H61" s="2" t="n"/>
    </row>
    <row r="62">
      <c r="A62" s="8" t="n">
        <v>78</v>
      </c>
      <c r="B62" s="32">
        <f>IFERROR(INDEX(LIQUIDACION_110!$B:$B,MATCH(A62,LIQUIDACION_110!$A:$A,0)),"")</f>
        <v/>
      </c>
      <c r="C62" s="10" t="inlineStr">
        <is>
          <t>Rentas gravables</t>
        </is>
      </c>
      <c r="D62" s="16">
        <f>IFERROR(INDEX(LIQUIDACION_110!$D:$D,MATCH(A62,LIQUIDACION_110!$A:$A,0)),0)</f>
        <v/>
      </c>
      <c r="E62" s="2" t="n"/>
      <c r="F62" s="2" t="n"/>
      <c r="G62" s="2" t="n"/>
      <c r="H62" s="2" t="n"/>
    </row>
    <row r="63">
      <c r="A63" s="8" t="n">
        <v>79</v>
      </c>
      <c r="B63" s="32">
        <f>IFERROR(INDEX(LIQUIDACION_110!$B:$B,MATCH(A63,LIQUIDACION_110!$A:$A,0)),"")</f>
        <v/>
      </c>
      <c r="C63" s="10" t="inlineStr">
        <is>
          <t>Renta líquida gravable</t>
        </is>
      </c>
      <c r="D63" s="16">
        <f>IFERROR(INDEX(LIQUIDACION_110!$D:$D,MATCH(A63,LIQUIDACION_110!$A:$A,0)),0)</f>
        <v/>
      </c>
      <c r="E63" s="2" t="n"/>
      <c r="F63" s="2" t="n"/>
      <c r="G63" s="2" t="n"/>
      <c r="H63" s="2" t="n"/>
    </row>
    <row r="64">
      <c r="A64" s="8" t="n">
        <v>80</v>
      </c>
      <c r="B64" s="32">
        <f>IFERROR(INDEX(LIQUIDACION_110!$B:$B,MATCH(A64,LIQUIDACION_110!$A:$A,0)),"")</f>
        <v/>
      </c>
      <c r="C64" s="10" t="inlineStr">
        <is>
          <t>Ingresos por ganancias ocasionales</t>
        </is>
      </c>
      <c r="D64" s="16">
        <f>IFERROR(INDEX(LIQUIDACION_110!$D:$D,MATCH(A64,LIQUIDACION_110!$A:$A,0)),0)</f>
        <v/>
      </c>
      <c r="E64" s="2" t="n"/>
      <c r="F64" s="2" t="n"/>
      <c r="G64" s="2" t="n"/>
      <c r="H64" s="2" t="n"/>
    </row>
    <row r="65">
      <c r="A65" s="8" t="n">
        <v>81</v>
      </c>
      <c r="B65" s="32">
        <f>IFERROR(INDEX(LIQUIDACION_110!$B:$B,MATCH(A65,LIQUIDACION_110!$A:$A,0)),"")</f>
        <v/>
      </c>
      <c r="C65" s="10" t="inlineStr">
        <is>
          <t>Costos por ganancias ocasionales</t>
        </is>
      </c>
      <c r="D65" s="16">
        <f>IFERROR(INDEX(LIQUIDACION_110!$D:$D,MATCH(A65,LIQUIDACION_110!$A:$A,0)),0)</f>
        <v/>
      </c>
      <c r="E65" s="2" t="n"/>
      <c r="F65" s="2" t="n"/>
      <c r="G65" s="2" t="n"/>
      <c r="H65" s="2" t="n"/>
    </row>
    <row r="66">
      <c r="A66" s="8" t="n">
        <v>82</v>
      </c>
      <c r="B66" s="32">
        <f>IFERROR(INDEX(LIQUIDACION_110!$B:$B,MATCH(A66,LIQUIDACION_110!$A:$A,0)),"")</f>
        <v/>
      </c>
      <c r="C66" s="10" t="inlineStr">
        <is>
          <t>Ganancias ocasionales no gravadas y exentas</t>
        </is>
      </c>
      <c r="D66" s="16">
        <f>IFERROR(INDEX(LIQUIDACION_110!$D:$D,MATCH(A66,LIQUIDACION_110!$A:$A,0)),0)</f>
        <v/>
      </c>
      <c r="E66" s="2" t="n"/>
      <c r="F66" s="2" t="n"/>
      <c r="G66" s="2" t="n"/>
      <c r="H66" s="2" t="n"/>
    </row>
    <row r="67">
      <c r="A67" s="8" t="n">
        <v>83</v>
      </c>
      <c r="B67" s="32">
        <f>IFERROR(INDEX(LIQUIDACION_110!$B:$B,MATCH(A67,LIQUIDACION_110!$A:$A,0)),"")</f>
        <v/>
      </c>
      <c r="C67" s="10" t="inlineStr">
        <is>
          <t>Ganancias ocasionales gravables</t>
        </is>
      </c>
      <c r="D67" s="16">
        <f>IFERROR(INDEX(LIQUIDACION_110!$D:$D,MATCH(A67,LIQUIDACION_110!$A:$A,0)),0)</f>
        <v/>
      </c>
      <c r="E67" s="2" t="n"/>
      <c r="F67" s="2" t="n"/>
      <c r="G67" s="2" t="n"/>
      <c r="H67" s="2" t="n"/>
    </row>
    <row r="68">
      <c r="A68" s="8" t="n">
        <v>84</v>
      </c>
      <c r="B68" s="32">
        <f>IFERROR(INDEX(LIQUIDACION_110!$B:$B,MATCH(A68,LIQUIDACION_110!$A:$A,0)),"")</f>
        <v/>
      </c>
      <c r="C68" s="10" t="inlineStr">
        <is>
          <t>Sobre la renta líquida gravable</t>
        </is>
      </c>
      <c r="D68" s="16">
        <f>IFERROR(INDEX(LIQUIDACION_110!$D:$D,MATCH(A68,LIQUIDACION_110!$A:$A,0)),0)</f>
        <v/>
      </c>
      <c r="E68" s="2" t="n"/>
      <c r="F68" s="2" t="n"/>
      <c r="G68" s="2" t="n"/>
      <c r="H68" s="2" t="n"/>
    </row>
    <row r="69">
      <c r="A69" s="8" t="n">
        <v>85</v>
      </c>
      <c r="B69" s="32">
        <f>IFERROR(INDEX(LIQUIDACION_110!$B:$B,MATCH(A69,LIQUIDACION_110!$A:$A,0)),"")</f>
        <v/>
      </c>
      <c r="C69" s="10" t="inlineStr">
        <is>
          <t>Puntos adicionales a la tarifa del impuesto renta</t>
        </is>
      </c>
      <c r="D69" s="16">
        <f>IFERROR(INDEX(LIQUIDACION_110!$D:$D,MATCH(A69,LIQUIDACION_110!$A:$A,0)),0)</f>
        <v/>
      </c>
      <c r="E69" s="2" t="n"/>
      <c r="F69" s="2" t="n"/>
      <c r="G69" s="2" t="n"/>
      <c r="H69" s="2" t="n"/>
    </row>
    <row r="70">
      <c r="A70" s="8" t="n">
        <v>86</v>
      </c>
      <c r="B70" s="32">
        <f>IFERROR(INDEX(LIQUIDACION_110!$B:$B,MATCH(A70,LIQUIDACION_110!$A:$A,0)),"")</f>
        <v/>
      </c>
      <c r="C70" s="10" t="inlineStr">
        <is>
          <t>Impuesto sobre dividendos base casilla 54</t>
        </is>
      </c>
      <c r="D70" s="16">
        <f>IFERROR(INDEX(LIQUIDACION_110!$D:$D,MATCH(A70,LIQUIDACION_110!$A:$A,0)),0)</f>
        <v/>
      </c>
      <c r="E70" s="2" t="n"/>
      <c r="F70" s="2" t="n"/>
      <c r="G70" s="2" t="n"/>
      <c r="H70" s="2" t="n"/>
    </row>
    <row r="71">
      <c r="A71" s="8" t="n">
        <v>87</v>
      </c>
      <c r="B71" s="32">
        <f>IFERROR(INDEX(LIQUIDACION_110!$B:$B,MATCH(A71,LIQUIDACION_110!$A:$A,0)),"")</f>
        <v/>
      </c>
      <c r="C71" s="10" t="inlineStr">
        <is>
          <t>Impuesto sobre dividendos base casilla 55</t>
        </is>
      </c>
      <c r="D71" s="16">
        <f>IFERROR(INDEX(LIQUIDACION_110!$D:$D,MATCH(A71,LIQUIDACION_110!$A:$A,0)),0)</f>
        <v/>
      </c>
      <c r="E71" s="2" t="n"/>
      <c r="F71" s="2" t="n"/>
      <c r="G71" s="2" t="n"/>
      <c r="H71" s="2" t="n"/>
    </row>
    <row r="72">
      <c r="A72" s="8" t="n">
        <v>88</v>
      </c>
      <c r="B72" s="32">
        <f>IFERROR(INDEX(LIQUIDACION_110!$B:$B,MATCH(A72,LIQUIDACION_110!$A:$A,0)),"")</f>
        <v/>
      </c>
      <c r="C72" s="10" t="inlineStr">
        <is>
          <t>Impuesto sobre dividendos base casilla 56</t>
        </is>
      </c>
      <c r="D72" s="16">
        <f>IFERROR(INDEX(LIQUIDACION_110!$D:$D,MATCH(A72,LIQUIDACION_110!$A:$A,0)),0)</f>
        <v/>
      </c>
      <c r="E72" s="2" t="n"/>
      <c r="F72" s="2" t="n"/>
      <c r="G72" s="2" t="n"/>
      <c r="H72" s="2" t="n"/>
    </row>
    <row r="73">
      <c r="A73" s="8" t="n">
        <v>89</v>
      </c>
      <c r="B73" s="32">
        <f>IFERROR(INDEX(LIQUIDACION_110!$B:$B,MATCH(A73,LIQUIDACION_110!$A:$A,0)),"")</f>
        <v/>
      </c>
      <c r="C73" s="10" t="inlineStr">
        <is>
          <t>Impuesto sobre dividendos base casilla 53</t>
        </is>
      </c>
      <c r="D73" s="16">
        <f>IFERROR(INDEX(LIQUIDACION_110!$D:$D,MATCH(A73,LIQUIDACION_110!$A:$A,0)),0)</f>
        <v/>
      </c>
      <c r="E73" s="2" t="n"/>
      <c r="F73" s="2" t="n"/>
      <c r="G73" s="2" t="n"/>
      <c r="H73" s="2" t="n"/>
    </row>
    <row r="74">
      <c r="A74" s="8" t="n">
        <v>90</v>
      </c>
      <c r="B74" s="32">
        <f>IFERROR(INDEX(LIQUIDACION_110!$B:$B,MATCH(A74,LIQUIDACION_110!$A:$A,0)),"")</f>
        <v/>
      </c>
      <c r="C74" s="10" t="inlineStr">
        <is>
          <t>Impuesto sobre dividendos base casilla 52</t>
        </is>
      </c>
      <c r="D74" s="16">
        <f>IFERROR(INDEX(LIQUIDACION_110!$D:$D,MATCH(A74,LIQUIDACION_110!$A:$A,0)),0)</f>
        <v/>
      </c>
      <c r="E74" s="2" t="n"/>
      <c r="F74" s="2" t="n"/>
      <c r="G74" s="2" t="n"/>
      <c r="H74" s="2" t="n"/>
    </row>
    <row r="75">
      <c r="A75" s="8" t="n">
        <v>91</v>
      </c>
      <c r="B75" s="32">
        <f>IFERROR(INDEX(LIQUIDACION_110!$B:$B,MATCH(A75,LIQUIDACION_110!$A:$A,0)),"")</f>
        <v/>
      </c>
      <c r="C75" s="10" t="inlineStr">
        <is>
          <t>Total impuesto sobre las rentas líquidas gravables</t>
        </is>
      </c>
      <c r="D75" s="16">
        <f>IFERROR(INDEX(LIQUIDACION_110!$D:$D,MATCH(A75,LIQUIDACION_110!$A:$A,0)),0)</f>
        <v/>
      </c>
      <c r="E75" s="2" t="n"/>
      <c r="F75" s="2" t="n"/>
      <c r="G75" s="2" t="n"/>
      <c r="H75" s="2" t="n"/>
    </row>
    <row r="76">
      <c r="A76" s="8" t="n">
        <v>92</v>
      </c>
      <c r="B76" s="32">
        <f>IFERROR(INDEX(LIQUIDACION_110!$B:$B,MATCH(A76,LIQUIDACION_110!$A:$A,0)),"")</f>
        <v/>
      </c>
      <c r="C76" s="10" t="inlineStr">
        <is>
          <t>Valor a adicionar (VAA)</t>
        </is>
      </c>
      <c r="D76" s="16">
        <f>IFERROR(INDEX(LIQUIDACION_110!$D:$D,MATCH(A76,LIQUIDACION_110!$A:$A,0)),0)</f>
        <v/>
      </c>
      <c r="E76" s="2" t="n"/>
      <c r="F76" s="2" t="n"/>
      <c r="G76" s="2" t="n"/>
      <c r="H76" s="2" t="n"/>
    </row>
    <row r="77">
      <c r="A77" s="8" t="n">
        <v>93</v>
      </c>
      <c r="B77" s="32">
        <f>IFERROR(INDEX(LIQUIDACION_110!$B:$B,MATCH(A77,LIQUIDACION_110!$A:$A,0)),"")</f>
        <v/>
      </c>
      <c r="C77" s="10" t="inlineStr">
        <is>
          <t>Descuentos tributarios</t>
        </is>
      </c>
      <c r="D77" s="16">
        <f>IFERROR(INDEX(LIQUIDACION_110!$D:$D,MATCH(A77,LIQUIDACION_110!$A:$A,0)),0)</f>
        <v/>
      </c>
      <c r="E77" s="2" t="n"/>
      <c r="F77" s="2" t="n"/>
      <c r="G77" s="2" t="n"/>
      <c r="H77" s="2" t="n"/>
    </row>
    <row r="78">
      <c r="A78" s="8" t="n">
        <v>94</v>
      </c>
      <c r="B78" s="32">
        <f>IFERROR(INDEX(LIQUIDACION_110!$B:$B,MATCH(A78,LIQUIDACION_110!$A:$A,0)),"")</f>
        <v/>
      </c>
      <c r="C78" s="10" t="inlineStr">
        <is>
          <t>Impuesto neto de renta (sin impuesto adicionado)</t>
        </is>
      </c>
      <c r="D78" s="16">
        <f>IFERROR(INDEX(LIQUIDACION_110!$D:$D,MATCH(A78,LIQUIDACION_110!$A:$A,0)),0)</f>
        <v/>
      </c>
      <c r="E78" s="2" t="n"/>
      <c r="F78" s="2" t="n"/>
      <c r="G78" s="2" t="n"/>
      <c r="H78" s="2" t="n"/>
    </row>
    <row r="79">
      <c r="A79" s="8" t="n">
        <v>95</v>
      </c>
      <c r="B79" s="32">
        <f>IFERROR(INDEX(LIQUIDACION_110!$B:$B,MATCH(A79,LIQUIDACION_110!$A:$A,0)),"")</f>
        <v/>
      </c>
      <c r="C79" s="10" t="inlineStr">
        <is>
          <t>Impuesto a adicionar (IA)</t>
        </is>
      </c>
      <c r="D79" s="16">
        <f>IFERROR(INDEX(LIQUIDACION_110!$D:$D,MATCH(A79,LIQUIDACION_110!$A:$A,0)),0)</f>
        <v/>
      </c>
      <c r="E79" s="2" t="n"/>
      <c r="F79" s="2" t="n"/>
      <c r="G79" s="2" t="n"/>
      <c r="H79" s="2" t="n"/>
    </row>
    <row r="80">
      <c r="A80" s="8" t="n">
        <v>96</v>
      </c>
      <c r="B80" s="32">
        <f>IFERROR(INDEX(LIQUIDACION_110!$B:$B,MATCH(A80,LIQUIDACION_110!$A:$A,0)),"")</f>
        <v/>
      </c>
      <c r="C80" s="10" t="inlineStr">
        <is>
          <t>Impuesto neto de renta (con impuesto adicionado)</t>
        </is>
      </c>
      <c r="D80" s="16">
        <f>IFERROR(INDEX(LIQUIDACION_110!$D:$D,MATCH(A80,LIQUIDACION_110!$A:$A,0)),0)</f>
        <v/>
      </c>
      <c r="E80" s="2" t="n"/>
      <c r="F80" s="2" t="n"/>
      <c r="G80" s="2" t="n"/>
      <c r="H80" s="2" t="n"/>
    </row>
    <row r="81">
      <c r="A81" s="8" t="n">
        <v>97</v>
      </c>
      <c r="B81" s="32">
        <f>IFERROR(INDEX(LIQUIDACION_110!$B:$B,MATCH(A81,LIQUIDACION_110!$A:$A,0)),"")</f>
        <v/>
      </c>
      <c r="C81" s="10" t="inlineStr">
        <is>
          <t>Impuesto de ganancias ocasionales</t>
        </is>
      </c>
      <c r="D81" s="16">
        <f>IFERROR(INDEX(LIQUIDACION_110!$D:$D,MATCH(A81,LIQUIDACION_110!$A:$A,0)),0)</f>
        <v/>
      </c>
      <c r="E81" s="2" t="n"/>
      <c r="F81" s="2" t="n"/>
      <c r="G81" s="2" t="n"/>
      <c r="H81" s="2" t="n"/>
    </row>
    <row r="82">
      <c r="A82" s="8" t="n">
        <v>98</v>
      </c>
      <c r="B82" s="32">
        <f>IFERROR(INDEX(LIQUIDACION_110!$B:$B,MATCH(A82,LIQUIDACION_110!$A:$A,0)),"")</f>
        <v/>
      </c>
      <c r="C82" s="10" t="inlineStr">
        <is>
          <t>Descuento por impuestos pagados en el exterior por GO</t>
        </is>
      </c>
      <c r="D82" s="16">
        <f>IFERROR(INDEX(LIQUIDACION_110!$D:$D,MATCH(A82,LIQUIDACION_110!$A:$A,0)),0)</f>
        <v/>
      </c>
      <c r="E82" s="2" t="n"/>
      <c r="F82" s="2" t="n"/>
      <c r="G82" s="2" t="n"/>
      <c r="H82" s="2" t="n"/>
    </row>
    <row r="83">
      <c r="A83" s="8" t="n">
        <v>99</v>
      </c>
      <c r="B83" s="32">
        <f>IFERROR(INDEX(LIQUIDACION_110!$B:$B,MATCH(A83,LIQUIDACION_110!$A:$A,0)),"")</f>
        <v/>
      </c>
      <c r="C83" s="10" t="inlineStr">
        <is>
          <t>Total impuesto a cargo</t>
        </is>
      </c>
      <c r="D83" s="16">
        <f>IFERROR(INDEX(LIQUIDACION_110!$D:$D,MATCH(A83,LIQUIDACION_110!$A:$A,0)),0)</f>
        <v/>
      </c>
      <c r="E83" s="2" t="n"/>
      <c r="F83" s="2" t="n"/>
      <c r="G83" s="2" t="n"/>
      <c r="H83" s="2" t="n"/>
    </row>
    <row r="84">
      <c r="A84" s="8" t="n">
        <v>100</v>
      </c>
      <c r="B84" s="32">
        <f>IFERROR(INDEX(LIQUIDACION_110!$B:$B,MATCH(A84,LIQUIDACION_110!$A:$A,0)),"")</f>
        <v/>
      </c>
      <c r="C84" s="10" t="inlineStr">
        <is>
          <t>Valor inversión obras por impuestos modalidad 1</t>
        </is>
      </c>
      <c r="D84" s="16">
        <f>IFERROR(INDEX(LIQUIDACION_110!$D:$D,MATCH(A84,LIQUIDACION_110!$A:$A,0)),0)</f>
        <v/>
      </c>
      <c r="E84" s="2" t="n"/>
      <c r="F84" s="2" t="n"/>
      <c r="G84" s="2" t="n"/>
      <c r="H84" s="2" t="n"/>
    </row>
    <row r="85">
      <c r="A85" s="8" t="n">
        <v>101</v>
      </c>
      <c r="B85" s="32">
        <f>IFERROR(INDEX(LIQUIDACION_110!$B:$B,MATCH(A85,LIQUIDACION_110!$A:$A,0)),"")</f>
        <v/>
      </c>
      <c r="C85" s="10" t="inlineStr">
        <is>
          <t>Descuento efectivo obras por impuestos modalidad 2</t>
        </is>
      </c>
      <c r="D85" s="16">
        <f>IFERROR(INDEX(LIQUIDACION_110!$D:$D,MATCH(A85,LIQUIDACION_110!$A:$A,0)),0)</f>
        <v/>
      </c>
      <c r="E85" s="2" t="n"/>
      <c r="F85" s="2" t="n"/>
      <c r="G85" s="2" t="n"/>
      <c r="H85" s="2" t="n"/>
    </row>
    <row r="86">
      <c r="A86" s="8" t="n">
        <v>102</v>
      </c>
      <c r="B86" s="32">
        <f>IFERROR(INDEX(LIQUIDACION_110!$B:$B,MATCH(A86,LIQUIDACION_110!$A:$A,0)),"")</f>
        <v/>
      </c>
      <c r="C86" s="10" t="inlineStr">
        <is>
          <t>Crédito fiscal artículo 256-1 E.T.</t>
        </is>
      </c>
      <c r="D86" s="16">
        <f>IFERROR(INDEX(LIQUIDACION_110!$D:$D,MATCH(A86,LIQUIDACION_110!$A:$A,0)),0)</f>
        <v/>
      </c>
      <c r="E86" s="2" t="n"/>
      <c r="F86" s="2" t="n"/>
      <c r="G86" s="2" t="n"/>
      <c r="H86" s="2" t="n"/>
    </row>
    <row r="87">
      <c r="A87" s="8" t="n">
        <v>103</v>
      </c>
      <c r="B87" s="32">
        <f>IFERROR(INDEX(LIQUIDACION_110!$B:$B,MATCH(A87,LIQUIDACION_110!$A:$A,0)),"")</f>
        <v/>
      </c>
      <c r="C87" s="10" t="inlineStr">
        <is>
          <t>Anticipo renta liquidado año gravable anterior</t>
        </is>
      </c>
      <c r="D87" s="16">
        <f>IFERROR(INDEX(LIQUIDACION_110!$D:$D,MATCH(A87,LIQUIDACION_110!$A:$A,0)),0)</f>
        <v/>
      </c>
      <c r="E87" s="2" t="n"/>
      <c r="F87" s="2" t="n"/>
      <c r="G87" s="2" t="n"/>
      <c r="H87" s="2" t="n"/>
    </row>
    <row r="88">
      <c r="A88" s="8" t="n">
        <v>104</v>
      </c>
      <c r="B88" s="32">
        <f>IFERROR(INDEX(LIQUIDACION_110!$B:$B,MATCH(A88,LIQUIDACION_110!$A:$A,0)),"")</f>
        <v/>
      </c>
      <c r="C88" s="10" t="inlineStr">
        <is>
          <t>Saldo a favor año gravable anterior</t>
        </is>
      </c>
      <c r="D88" s="16">
        <f>IFERROR(INDEX(LIQUIDACION_110!$D:$D,MATCH(A88,LIQUIDACION_110!$A:$A,0)),0)</f>
        <v/>
      </c>
      <c r="E88" s="2" t="n"/>
      <c r="F88" s="2" t="n"/>
      <c r="G88" s="2" t="n"/>
      <c r="H88" s="2" t="n"/>
    </row>
    <row r="89">
      <c r="A89" s="8" t="n">
        <v>105</v>
      </c>
      <c r="B89" s="32">
        <f>IFERROR(INDEX(LIQUIDACION_110!$B:$B,MATCH(A89,LIQUIDACION_110!$A:$A,0)),"")</f>
        <v/>
      </c>
      <c r="C89" s="10" t="inlineStr">
        <is>
          <t>Autorretenciones</t>
        </is>
      </c>
      <c r="D89" s="16">
        <f>IFERROR(INDEX(LIQUIDACION_110!$D:$D,MATCH(A89,LIQUIDACION_110!$A:$A,0)),0)</f>
        <v/>
      </c>
      <c r="E89" s="2" t="n"/>
      <c r="F89" s="2" t="n"/>
      <c r="G89" s="2" t="n"/>
      <c r="H89" s="2" t="n"/>
    </row>
    <row r="90">
      <c r="A90" s="8" t="n">
        <v>106</v>
      </c>
      <c r="B90" s="32">
        <f>IFERROR(INDEX(LIQUIDACION_110!$B:$B,MATCH(A90,LIQUIDACION_110!$A:$A,0)),"")</f>
        <v/>
      </c>
      <c r="C90" s="10" t="inlineStr">
        <is>
          <t>Otras retenciones</t>
        </is>
      </c>
      <c r="D90" s="16">
        <f>IFERROR(INDEX(LIQUIDACION_110!$D:$D,MATCH(A90,LIQUIDACION_110!$A:$A,0)),0)</f>
        <v/>
      </c>
      <c r="E90" s="2" t="n"/>
      <c r="F90" s="2" t="n"/>
      <c r="G90" s="2" t="n"/>
      <c r="H90" s="2" t="n"/>
    </row>
    <row r="91">
      <c r="A91" s="8" t="n">
        <v>107</v>
      </c>
      <c r="B91" s="32">
        <f>IFERROR(INDEX(LIQUIDACION_110!$B:$B,MATCH(A91,LIQUIDACION_110!$A:$A,0)),"")</f>
        <v/>
      </c>
      <c r="C91" s="10" t="inlineStr">
        <is>
          <t>Total retenciones año gravable a declarar</t>
        </is>
      </c>
      <c r="D91" s="16">
        <f>IFERROR(INDEX(LIQUIDACION_110!$D:$D,MATCH(A91,LIQUIDACION_110!$A:$A,0)),0)</f>
        <v/>
      </c>
      <c r="E91" s="2" t="n"/>
      <c r="F91" s="2" t="n"/>
      <c r="G91" s="2" t="n"/>
      <c r="H91" s="2" t="n"/>
    </row>
    <row r="92">
      <c r="A92" s="8" t="n">
        <v>108</v>
      </c>
      <c r="B92" s="32">
        <f>IFERROR(INDEX(LIQUIDACION_110!$B:$B,MATCH(A92,LIQUIDACION_110!$A:$A,0)),"")</f>
        <v/>
      </c>
      <c r="C92" s="10" t="inlineStr">
        <is>
          <t>Anticipo renta para el año gravable siguiente</t>
        </is>
      </c>
      <c r="D92" s="16">
        <f>IFERROR(INDEX(LIQUIDACION_110!$D:$D,MATCH(A92,LIQUIDACION_110!$A:$A,0)),0)</f>
        <v/>
      </c>
      <c r="E92" s="2" t="n"/>
      <c r="F92" s="2" t="n"/>
      <c r="G92" s="2" t="n"/>
      <c r="H92" s="2" t="n"/>
    </row>
    <row r="93">
      <c r="A93" s="8" t="n">
        <v>109</v>
      </c>
      <c r="B93" s="32">
        <f>IFERROR(INDEX(LIQUIDACION_110!$B:$B,MATCH(A93,LIQUIDACION_110!$A:$A,0)),"")</f>
        <v/>
      </c>
      <c r="C93" s="10" t="inlineStr">
        <is>
          <t>Anticipo puntos adicionales año gravable anterior</t>
        </is>
      </c>
      <c r="D93" s="16">
        <f>IFERROR(INDEX(LIQUIDACION_110!$D:$D,MATCH(A93,LIQUIDACION_110!$A:$A,0)),0)</f>
        <v/>
      </c>
      <c r="E93" s="2" t="n"/>
      <c r="F93" s="2" t="n"/>
      <c r="G93" s="2" t="n"/>
      <c r="H93" s="2" t="n"/>
    </row>
    <row r="94">
      <c r="A94" s="8" t="n">
        <v>110</v>
      </c>
      <c r="B94" s="32">
        <f>IFERROR(INDEX(LIQUIDACION_110!$B:$B,MATCH(A94,LIQUIDACION_110!$A:$A,0)),"")</f>
        <v/>
      </c>
      <c r="C94" s="10" t="inlineStr">
        <is>
          <t>Anticipo puntos adicionales año gravable siguiente</t>
        </is>
      </c>
      <c r="D94" s="16">
        <f>IFERROR(INDEX(LIQUIDACION_110!$D:$D,MATCH(A94,LIQUIDACION_110!$A:$A,0)),0)</f>
        <v/>
      </c>
      <c r="E94" s="2" t="n"/>
      <c r="F94" s="2" t="n"/>
      <c r="G94" s="2" t="n"/>
      <c r="H94" s="2" t="n"/>
    </row>
    <row r="95">
      <c r="A95" s="8" t="n">
        <v>111</v>
      </c>
      <c r="B95" s="32">
        <f>IFERROR(INDEX(LIQUIDACION_110!$B:$B,MATCH(A95,LIQUIDACION_110!$A:$A,0)),"")</f>
        <v/>
      </c>
      <c r="C95" s="10" t="inlineStr">
        <is>
          <t>Saldo a pagar por impuesto</t>
        </is>
      </c>
      <c r="D95" s="16">
        <f>IFERROR(INDEX(LIQUIDACION_110!$D:$D,MATCH(A95,LIQUIDACION_110!$A:$A,0)),0)</f>
        <v/>
      </c>
      <c r="E95" s="2" t="n"/>
      <c r="F95" s="2" t="n"/>
      <c r="G95" s="2" t="n"/>
      <c r="H95" s="2" t="n"/>
    </row>
    <row r="96">
      <c r="A96" s="8" t="n">
        <v>112</v>
      </c>
      <c r="B96" s="32">
        <f>IFERROR(INDEX(LIQUIDACION_110!$B:$B,MATCH(A96,LIQUIDACION_110!$A:$A,0)),"")</f>
        <v/>
      </c>
      <c r="C96" s="10" t="inlineStr">
        <is>
          <t>Sanciones</t>
        </is>
      </c>
      <c r="D96" s="16">
        <f>IFERROR(INDEX(LIQUIDACION_110!$D:$D,MATCH(A96,LIQUIDACION_110!$A:$A,0)),0)</f>
        <v/>
      </c>
      <c r="E96" s="2" t="n"/>
      <c r="F96" s="2" t="n"/>
      <c r="G96" s="2" t="n"/>
      <c r="H96" s="2" t="n"/>
    </row>
    <row r="97">
      <c r="A97" s="8" t="n">
        <v>113</v>
      </c>
      <c r="B97" s="32">
        <f>IFERROR(INDEX(LIQUIDACION_110!$B:$B,MATCH(A97,LIQUIDACION_110!$A:$A,0)),"")</f>
        <v/>
      </c>
      <c r="C97" s="10" t="inlineStr">
        <is>
          <t>Total saldo a pagar</t>
        </is>
      </c>
      <c r="D97" s="16">
        <f>IFERROR(INDEX(LIQUIDACION_110!$D:$D,MATCH(A97,LIQUIDACION_110!$A:$A,0)),0)</f>
        <v/>
      </c>
      <c r="E97" s="2" t="n"/>
      <c r="F97" s="2" t="n"/>
      <c r="G97" s="2" t="n"/>
      <c r="H97" s="2" t="n"/>
    </row>
    <row r="98">
      <c r="A98" s="8" t="n">
        <v>114</v>
      </c>
      <c r="B98" s="32">
        <f>IFERROR(INDEX(LIQUIDACION_110!$B:$B,MATCH(A98,LIQUIDACION_110!$A:$A,0)),"")</f>
        <v/>
      </c>
      <c r="C98" s="10" t="inlineStr">
        <is>
          <t>Total saldo a favor</t>
        </is>
      </c>
      <c r="D98" s="16">
        <f>IFERROR(INDEX(LIQUIDACION_110!$D:$D,MATCH(A98,LIQUIDACION_110!$A:$A,0)),0)</f>
        <v/>
      </c>
      <c r="E98" s="2" t="n"/>
      <c r="F98" s="2" t="n"/>
      <c r="G98" s="2" t="n"/>
      <c r="H98" s="2" t="n"/>
    </row>
    <row r="99">
      <c r="A99" s="8" t="n">
        <v>115</v>
      </c>
      <c r="B99" s="32">
        <f>IFERROR(INDEX(LIQUIDACION_110!$B:$B,MATCH(A99,LIQUIDACION_110!$A:$A,0)),"")</f>
        <v/>
      </c>
      <c r="C99" s="10" t="inlineStr">
        <is>
          <t>Valor impuesto exigible por obras por impuestos modalidad 1</t>
        </is>
      </c>
      <c r="D99" s="16">
        <f>IFERROR(INDEX(LIQUIDACION_110!$D:$D,MATCH(A99,LIQUIDACION_110!$A:$A,0)),0)</f>
        <v/>
      </c>
      <c r="E99" s="2" t="n"/>
      <c r="F99" s="2" t="n"/>
      <c r="G99" s="2" t="n"/>
      <c r="H99" s="2" t="n"/>
    </row>
    <row r="100">
      <c r="A100" s="8" t="n">
        <v>116</v>
      </c>
      <c r="B100" s="32">
        <f>IFERROR(INDEX(LIQUIDACION_110!$B:$B,MATCH(A100,LIQUIDACION_110!$A:$A,0)),"")</f>
        <v/>
      </c>
      <c r="C100" s="10" t="inlineStr">
        <is>
          <t>Valor total proyecto obras por impuestos modalidad 2</t>
        </is>
      </c>
      <c r="D100" s="16">
        <f>IFERROR(INDEX(LIQUIDACION_110!$D:$D,MATCH(A100,LIQUIDACION_110!$A:$A,0)),0)</f>
        <v/>
      </c>
      <c r="E100" s="2" t="n"/>
      <c r="F100" s="2" t="n"/>
      <c r="G100" s="2" t="n"/>
      <c r="H100" s="2" t="n"/>
    </row>
    <row r="101">
      <c r="A101" s="8" t="n">
        <v>117</v>
      </c>
      <c r="B101" s="32">
        <f>IFERROR(INDEX(LIQUIDACION_110!$B:$B,MATCH(A101,LIQUIDACION_110!$A:$A,0)),"")</f>
        <v/>
      </c>
      <c r="C101" s="10" t="inlineStr">
        <is>
          <t>Aporte voluntario art. 244-1 E.T.</t>
        </is>
      </c>
      <c r="D101" s="16">
        <f>IFERROR(INDEX(LIQUIDACION_110!$D:$D,MATCH(A101,LIQUIDACION_110!$A:$A,0)),0)</f>
        <v/>
      </c>
      <c r="E101" s="2" t="n"/>
      <c r="F101" s="2" t="n"/>
      <c r="G101" s="2" t="n"/>
      <c r="H101" s="2" t="n"/>
    </row>
    <row r="102">
      <c r="A102" s="8" t="n">
        <v>980</v>
      </c>
      <c r="B102" s="32">
        <f>IFERROR(INDEX(LIQUIDACION_110!$B:$B,MATCH(A102,LIQUIDACION_110!$A:$A,0)),"")</f>
        <v/>
      </c>
      <c r="C102" s="10" t="inlineStr">
        <is>
          <t>Pago total</t>
        </is>
      </c>
      <c r="D102" s="16">
        <f>IFERROR(INDEX(LIQUIDACION_110!$D:$D,MATCH(A102,LIQUIDACION_110!$A:$A,0)),0)</f>
        <v/>
      </c>
      <c r="E102" s="2" t="n"/>
      <c r="F102" s="2" t="n"/>
      <c r="G102" s="2" t="n"/>
      <c r="H102" s="2" t="n"/>
    </row>
  </sheetData>
  <mergeCells count="2">
    <mergeCell ref="A2:H2"/>
    <mergeCell ref="A1:H1"/>
  </mergeCells>
  <pageMargins left="0.75" right="0.75" top="1" bottom="1" header="0.5" footer="0.5"/>
</worksheet>
</file>

<file path=xl/worksheets/sheet16.xml><?xml version="1.0" encoding="utf-8"?>
<worksheet xmlns="http://schemas.openxmlformats.org/spreadsheetml/2006/main">
  <sheetPr>
    <tabColor rgb="006B7280"/>
    <outlinePr summaryBelow="1" summaryRight="1"/>
    <pageSetUpPr/>
  </sheetPr>
  <dimension ref="A1:H17"/>
  <sheetViews>
    <sheetView showGridLines="0" workbookViewId="0">
      <selection activeCell="A1" sqref="A1"/>
    </sheetView>
  </sheetViews>
  <sheetFormatPr baseColWidth="8" defaultRowHeight="15"/>
  <cols>
    <col width="36" customWidth="1" min="1" max="1"/>
    <col width="52" customWidth="1" min="2" max="2"/>
    <col width="110" customWidth="1" min="3" max="3"/>
  </cols>
  <sheetData>
    <row r="1" ht="24" customHeight="1">
      <c r="A1" s="1" t="inlineStr">
        <is>
          <t>FUENTES</t>
        </is>
      </c>
      <c r="B1" s="108" t="n"/>
      <c r="C1" s="108" t="n"/>
      <c r="D1" s="108" t="n"/>
      <c r="E1" s="108" t="n"/>
      <c r="F1" s="108" t="n"/>
      <c r="G1" s="108" t="n"/>
      <c r="H1" s="109" t="n"/>
    </row>
    <row r="2" ht="30" customHeight="1">
      <c r="A2" s="3" t="inlineStr">
        <is>
          <t>Fuentes oficiales usadas para esta versión. Aun así, cada caso concreto debe revisarse antes de presentar.</t>
        </is>
      </c>
      <c r="B2" s="108" t="n"/>
      <c r="C2" s="108" t="n"/>
      <c r="D2" s="108" t="n"/>
      <c r="E2" s="108" t="n"/>
      <c r="F2" s="108" t="n"/>
      <c r="G2" s="108" t="n"/>
      <c r="H2" s="109" t="n"/>
    </row>
    <row r="3">
      <c r="A3" s="2" t="n"/>
      <c r="B3" s="2" t="n"/>
      <c r="C3" s="2" t="n"/>
      <c r="D3" s="2" t="n"/>
      <c r="E3" s="2" t="n"/>
      <c r="F3" s="2" t="n"/>
      <c r="G3" s="2" t="n"/>
      <c r="H3" s="2" t="n"/>
    </row>
    <row r="4">
      <c r="A4" s="7" t="inlineStr">
        <is>
          <t>Fuente</t>
        </is>
      </c>
      <c r="B4" s="7" t="inlineStr">
        <is>
          <t>Qué soporta</t>
        </is>
      </c>
      <c r="C4" s="7" t="inlineStr">
        <is>
          <t>URL</t>
        </is>
      </c>
      <c r="D4" s="2" t="n"/>
      <c r="E4" s="2" t="n"/>
      <c r="F4" s="2" t="n"/>
      <c r="G4" s="2" t="n"/>
      <c r="H4" s="2" t="n"/>
    </row>
    <row r="5">
      <c r="A5" s="88" t="inlineStr">
        <is>
          <t>Formulario e instructivo oficial AG 2025</t>
        </is>
      </c>
      <c r="B5" s="89" t="inlineStr">
        <is>
          <t>Estructura de casillas, fórmulas y topes del Formulario 110.</t>
        </is>
      </c>
      <c r="C5" s="89" t="inlineStr">
        <is>
          <t>https://www.dian.gov.co/atencionciudadano/formulariosinstructivos/Formularios/2025/Formulario_110_2025.pdf</t>
        </is>
      </c>
      <c r="D5" s="2" t="n"/>
      <c r="E5" s="2" t="n"/>
      <c r="F5" s="2" t="n"/>
      <c r="G5" s="2" t="n"/>
      <c r="H5" s="2" t="n"/>
    </row>
    <row r="6">
      <c r="A6" s="88" t="inlineStr">
        <is>
          <t>Ley 2277 de 2022</t>
        </is>
      </c>
      <c r="B6" s="89" t="inlineStr">
        <is>
          <t>Tarifa general 35% y puntos adicionales del art. 240.</t>
        </is>
      </c>
      <c r="C6" s="89" t="inlineStr">
        <is>
          <t>https://normograma.dian.gov.co/dian/compilacion/docs/ley_2277_2022.htm</t>
        </is>
      </c>
      <c r="D6" s="2" t="n"/>
      <c r="E6" s="2" t="n"/>
      <c r="F6" s="2" t="n"/>
      <c r="G6" s="2" t="n"/>
      <c r="H6" s="2" t="n"/>
    </row>
    <row r="7">
      <c r="A7" s="88" t="inlineStr">
        <is>
          <t>Estatuto Tributario - índice DIAN</t>
        </is>
      </c>
      <c r="B7" s="89" t="inlineStr">
        <is>
          <t>Normativa base para art. 107, 115, 147, 240, 254, 255, 256, 257, 257-1, 258-1, 259-1.</t>
        </is>
      </c>
      <c r="C7" s="89" t="inlineStr">
        <is>
          <t>https://normograma.dian.gov.co/dian/compilacion/docs/paneles/estatuto_tributario_indice.html</t>
        </is>
      </c>
      <c r="D7" s="2" t="n"/>
      <c r="E7" s="2" t="n"/>
      <c r="F7" s="2" t="n"/>
      <c r="G7" s="2" t="n"/>
      <c r="H7" s="2" t="n"/>
    </row>
    <row r="8">
      <c r="A8" s="88" t="inlineStr">
        <is>
          <t>Concepto DIAN 11383 de 2024</t>
        </is>
      </c>
      <c r="B8" s="89" t="inlineStr">
        <is>
          <t>Aplicación del art. 240-1 en zonas francas.</t>
        </is>
      </c>
      <c r="C8" s="89" t="inlineStr">
        <is>
          <t>https://normograma.dian.gov.co/dian/compilacion/docs/oficio_dian_11383_2024.htm</t>
        </is>
      </c>
      <c r="D8" s="2" t="n"/>
      <c r="E8" s="2" t="n"/>
      <c r="F8" s="2" t="n"/>
      <c r="G8" s="2" t="n"/>
      <c r="H8" s="2" t="n"/>
    </row>
    <row r="9">
      <c r="A9" s="88" t="inlineStr">
        <is>
          <t>Concepto DIAN 906382 de 2020</t>
        </is>
      </c>
      <c r="B9" s="89" t="inlineStr">
        <is>
          <t>Alcance del art. 107-2 educación de empleados.</t>
        </is>
      </c>
      <c r="C9" s="89" t="inlineStr">
        <is>
          <t>https://normograma.dian.gov.co/dian/compilacion/docs/oficio_dian_906382_2020.htm</t>
        </is>
      </c>
      <c r="D9" s="2" t="n"/>
      <c r="E9" s="2" t="n"/>
      <c r="F9" s="2" t="n"/>
      <c r="G9" s="2" t="n"/>
      <c r="H9" s="2" t="n"/>
    </row>
    <row r="10">
      <c r="A10" s="88" t="inlineStr">
        <is>
          <t>Decreto 1625 de 2016</t>
        </is>
      </c>
      <c r="B10" s="89" t="inlineStr">
        <is>
          <t>Reglamentación útil para primer empleo y otros beneficios.</t>
        </is>
      </c>
      <c r="C10" s="89" t="inlineStr">
        <is>
          <t>https://normograma.dian.gov.co/dian/compilacion/docs/decreto_1625_2016.htm</t>
        </is>
      </c>
      <c r="D10" s="2" t="n"/>
      <c r="E10" s="2" t="n"/>
      <c r="F10" s="2" t="n"/>
      <c r="G10" s="2" t="n"/>
      <c r="H10" s="2" t="n"/>
    </row>
    <row r="11">
      <c r="A11" s="88" t="inlineStr">
        <is>
          <t>Concepto DIAN 1431 de 2025</t>
        </is>
      </c>
      <c r="B11" s="89" t="inlineStr">
        <is>
          <t>Beneficio de I+D+i art. 256.</t>
        </is>
      </c>
      <c r="C11" s="89" t="inlineStr">
        <is>
          <t>https://normograma.dian.gov.co/dian/compilacion/docs/oficio_dian_1431_2025.htm</t>
        </is>
      </c>
      <c r="D11" s="2" t="n"/>
      <c r="E11" s="2" t="n"/>
      <c r="F11" s="2" t="n"/>
      <c r="G11" s="2" t="n"/>
      <c r="H11" s="2" t="n"/>
    </row>
    <row r="12">
      <c r="A12" s="88" t="inlineStr">
        <is>
          <t>Concepto DIAN 16804 de 2018</t>
        </is>
      </c>
      <c r="B12" s="89" t="inlineStr">
        <is>
          <t>Descuento ambiental art. 255.</t>
        </is>
      </c>
      <c r="C12" s="89" t="inlineStr">
        <is>
          <t>https://normograma.dian.gov.co/dian/compilacion/docs/oficio_dian_16804_2018.htm</t>
        </is>
      </c>
      <c r="D12" s="2" t="n"/>
      <c r="E12" s="2" t="n"/>
      <c r="F12" s="2" t="n"/>
      <c r="G12" s="2" t="n"/>
      <c r="H12" s="2" t="n"/>
    </row>
    <row r="13">
      <c r="A13" s="88" t="inlineStr">
        <is>
          <t>Concepto DIAN 1202 de 2018</t>
        </is>
      </c>
      <c r="B13" s="89" t="inlineStr">
        <is>
          <t>Donaciones art. 257.</t>
        </is>
      </c>
      <c r="C13" s="89" t="inlineStr">
        <is>
          <t>https://normograma.dian.gov.co/dian/compilacion/docs/oficio_dian_1202_2018.htm</t>
        </is>
      </c>
      <c r="D13" s="2" t="n"/>
      <c r="E13" s="2" t="n"/>
      <c r="F13" s="2" t="n"/>
      <c r="G13" s="2" t="n"/>
      <c r="H13" s="2" t="n"/>
    </row>
    <row r="14">
      <c r="A14" s="88" t="inlineStr">
        <is>
          <t>Concepto DIAN 901122 de 2022</t>
        </is>
      </c>
      <c r="B14" s="89" t="inlineStr">
        <is>
          <t>IVA en activos fijos reales productivos art. 258-1.</t>
        </is>
      </c>
      <c r="C14" s="89" t="inlineStr">
        <is>
          <t>https://normograma.dian.gov.co/dian/compilacion/docs/oficio_dian_901122_2022.htm</t>
        </is>
      </c>
      <c r="D14" s="2" t="n"/>
      <c r="E14" s="2" t="n"/>
      <c r="F14" s="2" t="n"/>
      <c r="G14" s="2" t="n"/>
      <c r="H14" s="2" t="n"/>
    </row>
    <row r="15">
      <c r="A15" s="88" t="inlineStr">
        <is>
          <t>Ley 1819 de 2016</t>
        </is>
      </c>
      <c r="B15" s="89" t="inlineStr">
        <is>
          <t>ZOMAC y obras por impuestos.</t>
        </is>
      </c>
      <c r="C15" s="89" t="inlineStr">
        <is>
          <t>https://normograma.dian.gov.co/dian/compilacion/docs/ley_1819_2016.htm</t>
        </is>
      </c>
      <c r="D15" s="2" t="n"/>
      <c r="E15" s="2" t="n"/>
      <c r="F15" s="2" t="n"/>
      <c r="G15" s="2" t="n"/>
      <c r="H15" s="2" t="n"/>
    </row>
    <row r="16">
      <c r="A16" s="2" t="n"/>
      <c r="B16" s="2" t="n"/>
      <c r="C16" s="2" t="n"/>
      <c r="D16" s="2" t="n"/>
      <c r="E16" s="2" t="n"/>
      <c r="F16" s="2" t="n"/>
      <c r="G16" s="2" t="n"/>
      <c r="H16" s="2" t="n"/>
    </row>
    <row r="17">
      <c r="A17" s="90" t="inlineStr">
        <is>
          <t>Advertencia</t>
        </is>
      </c>
      <c r="B17" s="2" t="inlineStr">
        <is>
          <t>Esta plantilla mejora mucho la estructura y el alcance técnico, pero sigue siendo un borrador profesional. Antes de presentar una declaración real, revisa soportes, régimen aplicable y cualquier norma especial del contribuyente.</t>
        </is>
      </c>
      <c r="C17" s="2" t="n"/>
      <c r="D17" s="2" t="n"/>
      <c r="E17" s="2" t="n"/>
      <c r="F17" s="2" t="n"/>
      <c r="G17" s="2" t="n"/>
      <c r="H17" s="2" t="n"/>
    </row>
  </sheetData>
  <mergeCells count="2">
    <mergeCell ref="A2:H2"/>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26"/>
  <sheetViews>
    <sheetView showGridLines="0" workbookViewId="0">
      <pane ySplit="3" topLeftCell="A4" activePane="bottomLeft" state="frozen"/>
      <selection pane="bottomLeft" activeCell="A1" sqref="A1"/>
    </sheetView>
  </sheetViews>
  <sheetFormatPr baseColWidth="8" defaultRowHeight="15"/>
  <cols>
    <col width="22" customWidth="1" min="1" max="1"/>
    <col width="18" customWidth="1" min="2" max="2"/>
    <col width="18" customWidth="1" min="3" max="3"/>
    <col width="50" customWidth="1" min="4" max="4"/>
    <col width="12" customWidth="1" min="5" max="5"/>
    <col width="12" customWidth="1" min="6" max="6"/>
    <col width="12" customWidth="1" min="7" max="7"/>
    <col width="12" customWidth="1" min="8" max="8"/>
  </cols>
  <sheetData>
    <row r="1">
      <c r="A1" s="91" t="inlineStr">
        <is>
          <t>Auditoría HazelRo | HazelRo Modelo Renta PJ 110 AG2025 v3</t>
        </is>
      </c>
      <c r="B1" s="104" t="n"/>
      <c r="C1" s="104" t="n"/>
      <c r="D1" s="104" t="n"/>
      <c r="E1" s="104" t="n"/>
      <c r="F1" s="104" t="n"/>
      <c r="G1" s="104" t="n"/>
      <c r="H1" s="105" t="n"/>
    </row>
    <row r="2">
      <c r="A2" s="92" t="inlineStr">
        <is>
          <t>Original: HazelRo_Modelo_Renta_PJ_110_AG2025_v3.xlsx | Mejorado: HazelRo_Modelo_Renta_PJ_110_AG2025_v3_mejorado.xlsx | Fecha: 2026-04-22</t>
        </is>
      </c>
    </row>
    <row r="4">
      <c r="A4" s="96" t="inlineStr">
        <is>
          <t>Criterio</t>
        </is>
      </c>
      <c r="B4" s="96" t="inlineStr">
        <is>
          <t>Antes</t>
        </is>
      </c>
      <c r="C4" s="96" t="inlineStr">
        <is>
          <t>Después</t>
        </is>
      </c>
      <c r="D4" s="96" t="inlineStr">
        <is>
          <t>Comentario</t>
        </is>
      </c>
    </row>
    <row r="5">
      <c r="A5" s="99" t="inlineStr">
        <is>
          <t>Formulación</t>
        </is>
      </c>
      <c r="B5" s="101" t="n">
        <v>8.5</v>
      </c>
      <c r="C5" s="101" t="n">
        <v>8.6</v>
      </c>
      <c r="D5" s="99" t="inlineStr">
        <is>
          <t>La lógica ya era fuerte; no se toca.</t>
        </is>
      </c>
    </row>
    <row r="6">
      <c r="A6" s="99" t="inlineStr">
        <is>
          <t>Técnico</t>
        </is>
      </c>
      <c r="B6" s="101" t="n">
        <v>8.1</v>
      </c>
      <c r="C6" s="101" t="n">
        <v>8.4</v>
      </c>
      <c r="D6" s="99" t="inlineStr">
        <is>
          <t>Se complementa con auditoría visual.</t>
        </is>
      </c>
    </row>
    <row r="7">
      <c r="A7" s="99" t="inlineStr">
        <is>
          <t>Claridad</t>
        </is>
      </c>
      <c r="B7" s="101" t="n">
        <v>8.199999999999999</v>
      </c>
      <c r="C7" s="101" t="n">
        <v>8.800000000000001</v>
      </c>
      <c r="D7" s="99" t="inlineStr">
        <is>
          <t>El resumen visual acelera la lectura.</t>
        </is>
      </c>
    </row>
    <row r="8">
      <c r="A8" s="99" t="inlineStr">
        <is>
          <t>Intuitivo</t>
        </is>
      </c>
      <c r="B8" s="101" t="n">
        <v>7.9</v>
      </c>
      <c r="C8" s="101" t="n">
        <v>8.5</v>
      </c>
      <c r="D8" s="99" t="inlineStr">
        <is>
          <t>Menos salto entre RESUMEN y VALIDACIONES.</t>
        </is>
      </c>
    </row>
    <row r="9">
      <c r="A9" s="99" t="inlineStr">
        <is>
          <t>Gráficas</t>
        </is>
      </c>
      <c r="B9" s="101" t="n">
        <v>3.6</v>
      </c>
      <c r="C9" s="101" t="n">
        <v>7</v>
      </c>
      <c r="D9" s="99" t="inlineStr">
        <is>
          <t>Se añaden gráficos que faltaban.</t>
        </is>
      </c>
    </row>
    <row r="10">
      <c r="A10" s="99" t="inlineStr">
        <is>
          <t>Gobierno/Control</t>
        </is>
      </c>
      <c r="B10" s="101" t="n">
        <v>8</v>
      </c>
      <c r="C10" s="101" t="n">
        <v>8.4</v>
      </c>
      <c r="D10" s="99" t="inlineStr">
        <is>
          <t>Más documentado.</t>
        </is>
      </c>
    </row>
    <row r="11">
      <c r="A11" s="102" t="inlineStr">
        <is>
          <t>Promedio</t>
        </is>
      </c>
      <c r="B11" s="103">
        <f>AVERAGE(B5:B10)</f>
        <v/>
      </c>
      <c r="C11" s="103">
        <f>AVERAGE(C5:C10)</f>
        <v/>
      </c>
      <c r="D11" s="102" t="inlineStr">
        <is>
          <t>Muy buen modelo de trabajo; ahora queda mejor empacado y más claro para revisión rápida.</t>
        </is>
      </c>
    </row>
    <row r="13">
      <c r="A13" s="96" t="inlineStr">
        <is>
          <t>Hallazgos clave</t>
        </is>
      </c>
      <c r="B13" s="104" t="n"/>
      <c r="C13" s="104" t="n"/>
      <c r="D13" s="104" t="n"/>
      <c r="E13" s="104" t="n"/>
      <c r="F13" s="104" t="n"/>
      <c r="G13" s="104" t="n"/>
      <c r="H13" s="105" t="n"/>
    </row>
    <row r="14">
      <c r="A14" s="106" t="inlineStr">
        <is>
          <t>• Es una versión mucho más madura que la v1 y ya tiene validaciones y resumen.</t>
        </is>
      </c>
      <c r="B14" s="104" t="n"/>
      <c r="C14" s="104" t="n"/>
      <c r="D14" s="104" t="n"/>
      <c r="E14" s="104" t="n"/>
      <c r="F14" s="104" t="n"/>
      <c r="G14" s="104" t="n"/>
      <c r="H14" s="105" t="n"/>
    </row>
    <row r="15">
      <c r="A15" s="106" t="inlineStr">
        <is>
          <t>• Faltaba una capa visual para clientes y una hoja de auditoría que dejara el estado del modelo.</t>
        </is>
      </c>
      <c r="B15" s="104" t="n"/>
      <c r="C15" s="104" t="n"/>
      <c r="D15" s="104" t="n"/>
      <c r="E15" s="104" t="n"/>
      <c r="F15" s="104" t="n"/>
      <c r="G15" s="104" t="n"/>
      <c r="H15" s="105" t="n"/>
    </row>
    <row r="16">
      <c r="A16" s="106" t="inlineStr">
        <is>
          <t>• La complejidad tributaria del perfil requiere una lectura más guiada.</t>
        </is>
      </c>
      <c r="B16" s="104" t="n"/>
      <c r="C16" s="104" t="n"/>
      <c r="D16" s="104" t="n"/>
      <c r="E16" s="104" t="n"/>
      <c r="F16" s="104" t="n"/>
      <c r="G16" s="104" t="n"/>
      <c r="H16" s="105" t="n"/>
    </row>
    <row r="17">
      <c r="A17" s="96" t="inlineStr">
        <is>
          <t>Mejoras aplicadas</t>
        </is>
      </c>
      <c r="B17" s="104" t="n"/>
      <c r="C17" s="104" t="n"/>
      <c r="D17" s="104" t="n"/>
      <c r="E17" s="104" t="n"/>
      <c r="F17" s="104" t="n"/>
      <c r="G17" s="104" t="n"/>
      <c r="H17" s="105" t="n"/>
    </row>
    <row r="18">
      <c r="A18" s="106" t="inlineStr">
        <is>
          <t>• Se añadió HZ_RESUMEN_VISUAL.</t>
        </is>
      </c>
      <c r="B18" s="104" t="n"/>
      <c r="C18" s="104" t="n"/>
      <c r="D18" s="104" t="n"/>
      <c r="E18" s="104" t="n"/>
      <c r="F18" s="104" t="n"/>
      <c r="G18" s="104" t="n"/>
      <c r="H18" s="105" t="n"/>
    </row>
    <row r="19">
      <c r="A19" s="106" t="inlineStr">
        <is>
          <t>• Se añadió HZ_AUDITORIA.</t>
        </is>
      </c>
      <c r="B19" s="104" t="n"/>
      <c r="C19" s="104" t="n"/>
      <c r="D19" s="104" t="n"/>
      <c r="E19" s="104" t="n"/>
      <c r="F19" s="104" t="n"/>
      <c r="G19" s="104" t="n"/>
      <c r="H19" s="105" t="n"/>
    </row>
    <row r="20">
      <c r="A20" s="106" t="inlineStr">
        <is>
          <t>• Se mantiene la arquitectura tributaria y las validaciones nativas.</t>
        </is>
      </c>
      <c r="B20" s="104" t="n"/>
      <c r="C20" s="104" t="n"/>
      <c r="D20" s="104" t="n"/>
      <c r="E20" s="104" t="n"/>
      <c r="F20" s="104" t="n"/>
      <c r="G20" s="104" t="n"/>
      <c r="H20" s="105" t="n"/>
    </row>
    <row r="21">
      <c r="A21" s="96" t="inlineStr">
        <is>
          <t>Ruta sugerida de uso</t>
        </is>
      </c>
      <c r="B21" s="104" t="n"/>
      <c r="C21" s="104" t="n"/>
      <c r="D21" s="104" t="n"/>
      <c r="E21" s="104" t="n"/>
      <c r="F21" s="104" t="n"/>
      <c r="G21" s="104" t="n"/>
      <c r="H21" s="105" t="n"/>
    </row>
    <row r="22">
      <c r="A22" s="99" t="inlineStr">
        <is>
          <t>HZ_RESUMEN_VISUAL</t>
        </is>
      </c>
      <c r="B22" s="107" t="inlineStr">
        <is>
          <t>Abrir hoja</t>
        </is>
      </c>
      <c r="C22" s="106" t="inlineStr">
        <is>
          <t>Vista ejecutiva del resultado.</t>
        </is>
      </c>
      <c r="D22" s="104" t="n"/>
      <c r="E22" s="104" t="n"/>
      <c r="F22" s="104" t="n"/>
      <c r="G22" s="104" t="n"/>
      <c r="H22" s="105" t="n"/>
    </row>
    <row r="23">
      <c r="A23" s="99" t="inlineStr">
        <is>
          <t>INICIO</t>
        </is>
      </c>
      <c r="B23" s="107" t="inlineStr">
        <is>
          <t>Abrir hoja</t>
        </is>
      </c>
      <c r="C23" s="106" t="inlineStr">
        <is>
          <t>Portada del modelo.</t>
        </is>
      </c>
      <c r="D23" s="104" t="n"/>
      <c r="E23" s="104" t="n"/>
      <c r="F23" s="104" t="n"/>
      <c r="G23" s="104" t="n"/>
      <c r="H23" s="105" t="n"/>
    </row>
    <row r="24">
      <c r="A24" s="99" t="inlineStr">
        <is>
          <t>INPUTS_110</t>
        </is>
      </c>
      <c r="B24" s="107" t="inlineStr">
        <is>
          <t>Abrir hoja</t>
        </is>
      </c>
      <c r="C24" s="106" t="inlineStr">
        <is>
          <t>Inputs del declarante.</t>
        </is>
      </c>
      <c r="D24" s="104" t="n"/>
      <c r="E24" s="104" t="n"/>
      <c r="F24" s="104" t="n"/>
      <c r="G24" s="104" t="n"/>
      <c r="H24" s="105" t="n"/>
    </row>
    <row r="25">
      <c r="A25" s="99" t="inlineStr">
        <is>
          <t>VALIDACIONES</t>
        </is>
      </c>
      <c r="B25" s="107" t="inlineStr">
        <is>
          <t>Abrir hoja</t>
        </is>
      </c>
      <c r="C25" s="106" t="inlineStr">
        <is>
          <t>Checks operativos.</t>
        </is>
      </c>
      <c r="D25" s="104" t="n"/>
      <c r="E25" s="104" t="n"/>
      <c r="F25" s="104" t="n"/>
      <c r="G25" s="104" t="n"/>
      <c r="H25" s="105" t="n"/>
    </row>
    <row r="26">
      <c r="A26" s="99" t="inlineStr">
        <is>
          <t>RESUMEN</t>
        </is>
      </c>
      <c r="B26" s="107" t="inlineStr">
        <is>
          <t>Abrir hoja</t>
        </is>
      </c>
      <c r="C26" s="106" t="inlineStr">
        <is>
          <t>KPIs base del modelo.</t>
        </is>
      </c>
      <c r="D26" s="104" t="n"/>
      <c r="E26" s="104" t="n"/>
      <c r="F26" s="104" t="n"/>
      <c r="G26" s="104" t="n"/>
      <c r="H26" s="105" t="n"/>
    </row>
  </sheetData>
  <mergeCells count="16">
    <mergeCell ref="A18:H18"/>
    <mergeCell ref="C25:H25"/>
    <mergeCell ref="C26:H26"/>
    <mergeCell ref="C24:H24"/>
    <mergeCell ref="A21:H21"/>
    <mergeCell ref="A15:H15"/>
    <mergeCell ref="A20:H20"/>
    <mergeCell ref="C22:H22"/>
    <mergeCell ref="A2:H2"/>
    <mergeCell ref="A16:H16"/>
    <mergeCell ref="C23:H23"/>
    <mergeCell ref="A13:H13"/>
    <mergeCell ref="A14:H14"/>
    <mergeCell ref="A19:H19"/>
    <mergeCell ref="A1:H1"/>
    <mergeCell ref="A17:H17"/>
  </mergeCells>
  <hyperlinks>
    <hyperlink xmlns:r="http://schemas.openxmlformats.org/officeDocument/2006/relationships" ref="B22" r:id="rId1"/>
    <hyperlink xmlns:r="http://schemas.openxmlformats.org/officeDocument/2006/relationships" ref="B23" r:id="rId2"/>
    <hyperlink xmlns:r="http://schemas.openxmlformats.org/officeDocument/2006/relationships" ref="B24" r:id="rId3"/>
    <hyperlink xmlns:r="http://schemas.openxmlformats.org/officeDocument/2006/relationships" ref="B25" r:id="rId4"/>
    <hyperlink xmlns:r="http://schemas.openxmlformats.org/officeDocument/2006/relationships" ref="B26" r:id="rId5"/>
  </hyperlinks>
  <pageMargins left="0.75" right="0.75" top="1" bottom="1" header="0.5" footer="0.5"/>
</worksheet>
</file>

<file path=xl/worksheets/sheet3.xml><?xml version="1.0" encoding="utf-8"?>
<worksheet xmlns="http://schemas.openxmlformats.org/spreadsheetml/2006/main">
  <sheetPr>
    <tabColor rgb="00C9A227"/>
    <outlinePr summaryBelow="1" summaryRight="1"/>
    <pageSetUpPr/>
  </sheetPr>
  <dimension ref="A1:H27"/>
  <sheetViews>
    <sheetView showGridLines="0" workbookViewId="0">
      <selection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 width="18" customWidth="1" min="7" max="7"/>
    <col width="18" customWidth="1" min="8" max="8"/>
  </cols>
  <sheetData>
    <row r="1" ht="24" customHeight="1">
      <c r="A1" s="1" t="inlineStr">
        <is>
          <t>HazelRo | Modelo Renta PJ 110 AG 2025</t>
        </is>
      </c>
      <c r="B1" s="108" t="n"/>
      <c r="C1" s="108" t="n"/>
      <c r="D1" s="108" t="n"/>
      <c r="E1" s="108" t="n"/>
      <c r="F1" s="108" t="n"/>
      <c r="G1" s="108" t="n"/>
      <c r="H1" s="109" t="n"/>
    </row>
    <row r="2" ht="30" customHeight="1">
      <c r="A2" s="3" t="inlineStr">
        <is>
          <t>Versión v3: reconstruida sobre el instructivo oficial DIAN y pensada para uso serio, claro y auditable.</t>
        </is>
      </c>
      <c r="B2" s="108" t="n"/>
      <c r="C2" s="108" t="n"/>
      <c r="D2" s="108" t="n"/>
      <c r="E2" s="108" t="n"/>
      <c r="F2" s="108" t="n"/>
      <c r="G2" s="108" t="n"/>
      <c r="H2" s="109" t="n"/>
    </row>
    <row r="3">
      <c r="A3" s="2" t="n"/>
      <c r="B3" s="2" t="n"/>
      <c r="C3" s="2" t="n"/>
      <c r="D3" s="2" t="n"/>
      <c r="E3" s="2" t="n"/>
      <c r="F3" s="2" t="n"/>
      <c r="G3" s="2" t="n"/>
      <c r="H3" s="2" t="n"/>
    </row>
    <row r="4">
      <c r="A4" s="4" t="inlineStr">
        <is>
          <t>1. Completa PARAMS y PERFIL_TRIBUTARIO
Arranca por el régimen y la tarifa real del contribuyente.</t>
        </is>
      </c>
      <c r="B4" s="110" t="n"/>
      <c r="C4" s="110" t="n"/>
      <c r="D4" s="111" t="n"/>
      <c r="E4" s="4" t="inlineStr">
        <is>
          <t>2. Diligencia INPUTS_110
La hoja azul concentra los datos que normalmente salen de RUT, estados financieros y soportes tributarios.</t>
        </is>
      </c>
      <c r="F4" s="110" t="n"/>
      <c r="G4" s="110" t="n"/>
      <c r="H4" s="111" t="n"/>
    </row>
    <row r="5">
      <c r="A5" s="112" t="n"/>
      <c r="D5" s="113" t="n"/>
      <c r="E5" s="112" t="n"/>
      <c r="H5" s="113" t="n"/>
    </row>
    <row r="6">
      <c r="A6" s="112" t="n"/>
      <c r="D6" s="113" t="n"/>
      <c r="E6" s="112" t="n"/>
      <c r="H6" s="113" t="n"/>
    </row>
    <row r="7">
      <c r="A7" s="112" t="n"/>
      <c r="D7" s="113" t="n"/>
      <c r="E7" s="112" t="n"/>
      <c r="H7" s="113" t="n"/>
    </row>
    <row r="8">
      <c r="A8" s="114" t="n"/>
      <c r="B8" s="115" t="n"/>
      <c r="C8" s="115" t="n"/>
      <c r="D8" s="116" t="n"/>
      <c r="E8" s="114" t="n"/>
      <c r="F8" s="115" t="n"/>
      <c r="G8" s="115" t="n"/>
      <c r="H8" s="116" t="n"/>
    </row>
    <row r="9">
      <c r="A9" s="2" t="n"/>
      <c r="B9" s="2" t="n"/>
      <c r="C9" s="2" t="n"/>
      <c r="D9" s="2" t="n"/>
      <c r="E9" s="2" t="n"/>
      <c r="F9" s="2" t="n"/>
      <c r="G9" s="2" t="n"/>
      <c r="H9" s="2" t="n"/>
    </row>
    <row r="10">
      <c r="A10" s="4" t="inlineStr">
        <is>
          <t>3. Activa beneficios en BENEFICIOS_Y_LIMITES
Sólo si tienes soporte legal y documental.</t>
        </is>
      </c>
      <c r="B10" s="110" t="n"/>
      <c r="C10" s="110" t="n"/>
      <c r="D10" s="111" t="n"/>
      <c r="E10" s="4" t="inlineStr">
        <is>
          <t>4. Revisa TASA_MINIMA_TTD
Casilla 95 no puede tratarse como un simple input libre.</t>
        </is>
      </c>
      <c r="F10" s="110" t="n"/>
      <c r="G10" s="110" t="n"/>
      <c r="H10" s="111" t="n"/>
    </row>
    <row r="11">
      <c r="A11" s="112" t="n"/>
      <c r="D11" s="113" t="n"/>
      <c r="E11" s="112" t="n"/>
      <c r="H11" s="113" t="n"/>
    </row>
    <row r="12">
      <c r="A12" s="112" t="n"/>
      <c r="D12" s="113" t="n"/>
      <c r="E12" s="112" t="n"/>
      <c r="H12" s="113" t="n"/>
    </row>
    <row r="13">
      <c r="A13" s="112" t="n"/>
      <c r="D13" s="113" t="n"/>
      <c r="E13" s="112" t="n"/>
      <c r="H13" s="113" t="n"/>
    </row>
    <row r="14">
      <c r="A14" s="114" t="n"/>
      <c r="B14" s="115" t="n"/>
      <c r="C14" s="115" t="n"/>
      <c r="D14" s="116" t="n"/>
      <c r="E14" s="114" t="n"/>
      <c r="F14" s="115" t="n"/>
      <c r="G14" s="115" t="n"/>
      <c r="H14" s="116" t="n"/>
    </row>
    <row r="15">
      <c r="A15" s="2" t="n"/>
      <c r="B15" s="2" t="n"/>
      <c r="C15" s="2" t="n"/>
      <c r="D15" s="2" t="n"/>
      <c r="E15" s="2" t="n"/>
      <c r="F15" s="2" t="n"/>
      <c r="G15" s="2" t="n"/>
      <c r="H15" s="2" t="n"/>
    </row>
    <row r="16">
      <c r="A16" s="4" t="inlineStr">
        <is>
          <t>5. Valida
Usa VALIDACIONES, CHECKLIST_SOPORTES y FUENTES antes de confiar en el resultado.</t>
        </is>
      </c>
      <c r="B16" s="110" t="n"/>
      <c r="C16" s="110" t="n"/>
      <c r="D16" s="111" t="n"/>
      <c r="E16" s="4" t="inlineStr">
        <is>
          <t>6. Lee el resultado
FORMULARIO_110, FORMULARIO_110_DIAN, RESUMEN y LIQUIDACION_110 te muestran el borrador final.</t>
        </is>
      </c>
      <c r="F16" s="110" t="n"/>
      <c r="G16" s="110" t="n"/>
      <c r="H16" s="111" t="n"/>
    </row>
    <row r="17">
      <c r="A17" s="112" t="n"/>
      <c r="D17" s="113" t="n"/>
      <c r="E17" s="112" t="n"/>
      <c r="H17" s="113" t="n"/>
    </row>
    <row r="18">
      <c r="A18" s="112" t="n"/>
      <c r="D18" s="113" t="n"/>
      <c r="E18" s="112" t="n"/>
      <c r="H18" s="113" t="n"/>
    </row>
    <row r="19">
      <c r="A19" s="112" t="n"/>
      <c r="D19" s="113" t="n"/>
      <c r="E19" s="112" t="n"/>
      <c r="H19" s="113" t="n"/>
    </row>
    <row r="20">
      <c r="A20" s="114" t="n"/>
      <c r="B20" s="115" t="n"/>
      <c r="C20" s="115" t="n"/>
      <c r="D20" s="116" t="n"/>
      <c r="E20" s="114" t="n"/>
      <c r="F20" s="115" t="n"/>
      <c r="G20" s="115" t="n"/>
      <c r="H20" s="116" t="n"/>
    </row>
    <row r="21">
      <c r="A21" s="2" t="n"/>
      <c r="B21" s="2" t="n"/>
      <c r="C21" s="2" t="n"/>
      <c r="D21" s="2" t="n"/>
      <c r="E21" s="2" t="n"/>
      <c r="F21" s="2" t="n"/>
      <c r="G21" s="2" t="n"/>
      <c r="H21" s="2" t="n"/>
    </row>
    <row r="22">
      <c r="A22" s="2" t="n"/>
      <c r="B22" s="2" t="n"/>
      <c r="C22" s="2" t="n"/>
      <c r="D22" s="2" t="n"/>
      <c r="E22" s="2" t="n"/>
      <c r="F22" s="2" t="n"/>
      <c r="G22" s="2" t="n"/>
      <c r="H22" s="2" t="n"/>
    </row>
    <row r="23">
      <c r="A23" s="5" t="inlineStr">
        <is>
          <t>Renta líquida gravable</t>
        </is>
      </c>
      <c r="B23" s="2" t="n"/>
      <c r="C23" s="5" t="inlineStr">
        <is>
          <t>Total impuesto a cargo</t>
        </is>
      </c>
      <c r="D23" s="2" t="n"/>
      <c r="E23" s="5" t="inlineStr">
        <is>
          <t>Total saldo a pagar</t>
        </is>
      </c>
      <c r="F23" s="2" t="n"/>
      <c r="G23" s="5" t="inlineStr">
        <is>
          <t>Total saldo a favor</t>
        </is>
      </c>
      <c r="H23" s="2" t="n"/>
    </row>
    <row r="24">
      <c r="A24" s="6">
        <f>IFERROR(INDEX(LIQUIDACION_110!$D:$D,MATCH(79,LIQUIDACION_110!$A:$A,0)),0)</f>
        <v/>
      </c>
      <c r="B24" s="117" t="n"/>
      <c r="C24" s="6">
        <f>IFERROR(INDEX(LIQUIDACION_110!$D:$D,MATCH(99,LIQUIDACION_110!$A:$A,0)),0)</f>
        <v/>
      </c>
      <c r="D24" s="117" t="n"/>
      <c r="E24" s="6">
        <f>IFERROR(INDEX(LIQUIDACION_110!$D:$D,MATCH(113,LIQUIDACION_110!$A:$A,0)),0)</f>
        <v/>
      </c>
      <c r="F24" s="117" t="n"/>
      <c r="G24" s="6">
        <f>IFERROR(INDEX(LIQUIDACION_110!$D:$D,MATCH(114,LIQUIDACION_110!$A:$A,0)),0)</f>
        <v/>
      </c>
      <c r="H24" s="117" t="n"/>
    </row>
    <row r="25">
      <c r="A25" s="118" t="n"/>
      <c r="B25" s="119" t="n"/>
      <c r="C25" s="118" t="n"/>
      <c r="D25" s="119" t="n"/>
      <c r="E25" s="118" t="n"/>
      <c r="F25" s="119" t="n"/>
      <c r="G25" s="118" t="n"/>
      <c r="H25" s="119" t="n"/>
    </row>
    <row r="26">
      <c r="A26" s="118" t="n"/>
      <c r="B26" s="119" t="n"/>
      <c r="C26" s="118" t="n"/>
      <c r="D26" s="119" t="n"/>
      <c r="E26" s="118" t="n"/>
      <c r="F26" s="119" t="n"/>
      <c r="G26" s="118" t="n"/>
      <c r="H26" s="119" t="n"/>
    </row>
    <row r="27">
      <c r="A27" s="120" t="n"/>
      <c r="B27" s="121" t="n"/>
      <c r="C27" s="120" t="n"/>
      <c r="D27" s="121" t="n"/>
      <c r="E27" s="120" t="n"/>
      <c r="F27" s="121" t="n"/>
      <c r="G27" s="120" t="n"/>
      <c r="H27" s="121" t="n"/>
    </row>
  </sheetData>
  <mergeCells count="12">
    <mergeCell ref="A24:B27"/>
    <mergeCell ref="A2:H2"/>
    <mergeCell ref="E16:H20"/>
    <mergeCell ref="C24:D27"/>
    <mergeCell ref="G24:H27"/>
    <mergeCell ref="E24:F27"/>
    <mergeCell ref="A16:D20"/>
    <mergeCell ref="A10:D14"/>
    <mergeCell ref="A4:D8"/>
    <mergeCell ref="A1:H1"/>
    <mergeCell ref="E4:H8"/>
    <mergeCell ref="E10:H14"/>
  </mergeCells>
  <pageMargins left="0.75" right="0.75" top="1" bottom="1" header="0.5" footer="0.5"/>
</worksheet>
</file>

<file path=xl/worksheets/sheet4.xml><?xml version="1.0" encoding="utf-8"?>
<worksheet xmlns="http://schemas.openxmlformats.org/spreadsheetml/2006/main">
  <sheetPr>
    <tabColor rgb="00C9A227"/>
    <outlinePr summaryBelow="1" summaryRight="1"/>
    <pageSetUpPr/>
  </sheetPr>
  <dimension ref="A1:H18"/>
  <sheetViews>
    <sheetView showGridLines="0" workbookViewId="0">
      <pane ySplit="3" topLeftCell="A4" activePane="bottomLeft" state="frozen"/>
      <selection pane="bottomLeft" activeCell="A1" sqref="A1"/>
    </sheetView>
  </sheetViews>
  <sheetFormatPr baseColWidth="8" defaultRowHeight="15"/>
  <cols>
    <col width="34" customWidth="1" min="1" max="1"/>
    <col width="16" customWidth="1" min="2" max="2"/>
    <col width="48" customWidth="1" min="3" max="3"/>
    <col width="18" customWidth="1" min="4" max="4"/>
  </cols>
  <sheetData>
    <row r="1" ht="24" customHeight="1">
      <c r="A1" s="1" t="inlineStr">
        <is>
          <t>PARAMS</t>
        </is>
      </c>
      <c r="B1" s="108" t="n"/>
      <c r="C1" s="108" t="n"/>
      <c r="D1" s="108" t="n"/>
      <c r="E1" s="108" t="n"/>
      <c r="F1" s="108" t="n"/>
      <c r="G1" s="108" t="n"/>
      <c r="H1" s="109" t="n"/>
    </row>
    <row r="2" ht="30" customHeight="1">
      <c r="A2" s="3" t="inlineStr">
        <is>
          <t>Parámetros base AG 2025 usados por la plantilla. Si cambias la ley, cambia primero aquí.</t>
        </is>
      </c>
      <c r="B2" s="108" t="n"/>
      <c r="C2" s="108" t="n"/>
      <c r="D2" s="108" t="n"/>
      <c r="E2" s="108" t="n"/>
      <c r="F2" s="108" t="n"/>
      <c r="G2" s="108" t="n"/>
      <c r="H2" s="109" t="n"/>
    </row>
    <row r="3">
      <c r="A3" s="2" t="n"/>
      <c r="B3" s="2" t="n"/>
      <c r="C3" s="2" t="n"/>
      <c r="D3" s="2" t="n"/>
      <c r="E3" s="2" t="n"/>
      <c r="F3" s="2" t="n"/>
      <c r="G3" s="2" t="n"/>
      <c r="H3" s="2" t="n"/>
    </row>
    <row r="4">
      <c r="A4" s="7" t="inlineStr">
        <is>
          <t>Parámetro</t>
        </is>
      </c>
      <c r="B4" s="7" t="inlineStr">
        <is>
          <t>Valor</t>
        </is>
      </c>
      <c r="C4" s="7" t="inlineStr">
        <is>
          <t>Uso</t>
        </is>
      </c>
      <c r="D4" s="7" t="inlineStr">
        <is>
          <t>Editable</t>
        </is>
      </c>
      <c r="E4" s="2" t="n"/>
      <c r="F4" s="2" t="n"/>
      <c r="G4" s="2" t="n"/>
      <c r="H4" s="2" t="n"/>
    </row>
    <row r="5">
      <c r="A5" s="8" t="inlineStr">
        <is>
          <t>TaxYear</t>
        </is>
      </c>
      <c r="B5" s="9" t="n">
        <v>2025</v>
      </c>
      <c r="C5" s="10" t="inlineStr">
        <is>
          <t>Año gravable del modelo.</t>
        </is>
      </c>
      <c r="D5" s="10" t="inlineStr">
        <is>
          <t>Sí</t>
        </is>
      </c>
      <c r="E5" s="2" t="n"/>
      <c r="F5" s="2" t="n"/>
      <c r="G5" s="2" t="n"/>
      <c r="H5" s="2" t="n"/>
    </row>
    <row r="6">
      <c r="A6" s="8" t="inlineStr">
        <is>
          <t>Tarifa general art. 240</t>
        </is>
      </c>
      <c r="B6" s="11" t="n">
        <v>0.35</v>
      </c>
      <c r="C6" s="10" t="inlineStr">
        <is>
          <t>Tarifa general para PJ.</t>
        </is>
      </c>
      <c r="D6" s="10" t="inlineStr">
        <is>
          <t>Sí</t>
        </is>
      </c>
      <c r="E6" s="2" t="n"/>
      <c r="F6" s="2" t="n"/>
      <c r="G6" s="2" t="n"/>
      <c r="H6" s="2" t="n"/>
    </row>
    <row r="7">
      <c r="A7" s="8" t="inlineStr">
        <is>
          <t>Tarifa dividendos arts. 245/246</t>
        </is>
      </c>
      <c r="B7" s="11" t="n">
        <v>0.2</v>
      </c>
      <c r="C7" s="10" t="inlineStr">
        <is>
          <t>Usada en casillas 86, 87 y 89.</t>
        </is>
      </c>
      <c r="D7" s="10" t="inlineStr">
        <is>
          <t>Sí</t>
        </is>
      </c>
      <c r="E7" s="2" t="n"/>
      <c r="F7" s="2" t="n"/>
      <c r="G7" s="2" t="n"/>
      <c r="H7" s="2" t="n"/>
    </row>
    <row r="8">
      <c r="A8" s="8" t="inlineStr">
        <is>
          <t>Tarifa legacy dividendos no residentes (casilla 90)</t>
        </is>
      </c>
      <c r="B8" s="11" t="n">
        <v>0.33</v>
      </c>
      <c r="C8" s="10" t="inlineStr">
        <is>
          <t>Aplica a casilla 52.</t>
        </is>
      </c>
      <c r="D8" s="10" t="inlineStr">
        <is>
          <t>Sí</t>
        </is>
      </c>
      <c r="E8" s="2" t="n"/>
      <c r="F8" s="2" t="n"/>
      <c r="G8" s="2" t="n"/>
      <c r="H8" s="2" t="n"/>
    </row>
    <row r="9">
      <c r="A9" s="8" t="inlineStr">
        <is>
          <t>Tarifa megainversión dividendos</t>
        </is>
      </c>
      <c r="B9" s="11" t="n">
        <v>0.27</v>
      </c>
      <c r="C9" s="10" t="inlineStr">
        <is>
          <t>Usada en casilla 88.</t>
        </is>
      </c>
      <c r="D9" s="10" t="inlineStr">
        <is>
          <t>Sí</t>
        </is>
      </c>
      <c r="E9" s="2" t="n"/>
      <c r="F9" s="2" t="n"/>
      <c r="G9" s="2" t="n"/>
      <c r="H9" s="2" t="n"/>
    </row>
    <row r="10">
      <c r="A10" s="8" t="inlineStr">
        <is>
          <t>Tarifa general GO</t>
        </is>
      </c>
      <c r="B10" s="11" t="n">
        <v>0.15</v>
      </c>
      <c r="C10" s="10" t="inlineStr">
        <is>
          <t>Ganancias ocasionales generales.</t>
        </is>
      </c>
      <c r="D10" s="10" t="inlineStr">
        <is>
          <t>Sí</t>
        </is>
      </c>
      <c r="E10" s="2" t="n"/>
      <c r="F10" s="2" t="n"/>
      <c r="G10" s="2" t="n"/>
      <c r="H10" s="2" t="n"/>
    </row>
    <row r="11">
      <c r="A11" s="8" t="inlineStr">
        <is>
          <t>Tarifa GO loterías/rifas/apuestas</t>
        </is>
      </c>
      <c r="B11" s="11" t="n">
        <v>0.2</v>
      </c>
      <c r="C11" s="10" t="inlineStr">
        <is>
          <t>Porción especial al 20%.</t>
        </is>
      </c>
      <c r="D11" s="10" t="inlineStr">
        <is>
          <t>Sí</t>
        </is>
      </c>
      <c r="E11" s="2" t="n"/>
      <c r="F11" s="2" t="n"/>
      <c r="G11" s="2" t="n"/>
      <c r="H11" s="2" t="n"/>
    </row>
    <row r="12">
      <c r="A12" s="8" t="inlineStr">
        <is>
          <t>Tarifa GO ZOMAC micro / pequeña</t>
        </is>
      </c>
      <c r="B12" s="11" t="n">
        <v>0.075</v>
      </c>
      <c r="C12" s="10" t="inlineStr">
        <is>
          <t>AG 2025 según instructivo DIAN.</t>
        </is>
      </c>
      <c r="D12" s="10" t="inlineStr">
        <is>
          <t>Sí</t>
        </is>
      </c>
      <c r="E12" s="2" t="n"/>
      <c r="F12" s="2" t="n"/>
      <c r="G12" s="2" t="n"/>
      <c r="H12" s="2" t="n"/>
    </row>
    <row r="13">
      <c r="A13" s="8" t="inlineStr">
        <is>
          <t>Tarifa GO ZOMAC mediana / grande</t>
        </is>
      </c>
      <c r="B13" s="11" t="n">
        <v>0.1125</v>
      </c>
      <c r="C13" s="10" t="inlineStr">
        <is>
          <t>AG 2025 según instructivo DIAN.</t>
        </is>
      </c>
      <c r="D13" s="10" t="inlineStr">
        <is>
          <t>Sí</t>
        </is>
      </c>
      <c r="E13" s="2" t="n"/>
      <c r="F13" s="2" t="n"/>
      <c r="G13" s="2" t="n"/>
      <c r="H13" s="2" t="n"/>
    </row>
    <row r="14">
      <c r="A14" s="8" t="inlineStr">
        <is>
          <t>Tope obras por impuestos modalidad 1</t>
        </is>
      </c>
      <c r="B14" s="11" t="n">
        <v>0.5</v>
      </c>
      <c r="C14" s="10" t="inlineStr">
        <is>
          <t>Máximo sobre casilla 99.</t>
        </is>
      </c>
      <c r="D14" s="10" t="inlineStr">
        <is>
          <t>Sí</t>
        </is>
      </c>
      <c r="E14" s="2" t="n"/>
      <c r="F14" s="2" t="n"/>
      <c r="G14" s="2" t="n"/>
      <c r="H14" s="2" t="n"/>
    </row>
    <row r="15">
      <c r="A15" s="8" t="inlineStr">
        <is>
          <t>Límite art. 258</t>
        </is>
      </c>
      <c r="B15" s="11" t="n">
        <v>0.25</v>
      </c>
      <c r="C15" s="10" t="inlineStr">
        <is>
          <t>Tope conjunto art. 255, 256 y 257.</t>
        </is>
      </c>
      <c r="D15" s="10" t="inlineStr">
        <is>
          <t>Sí</t>
        </is>
      </c>
      <c r="E15" s="2" t="n"/>
      <c r="F15" s="2" t="n"/>
      <c r="G15" s="2" t="n"/>
      <c r="H15" s="2" t="n"/>
    </row>
    <row r="16">
      <c r="A16" s="8" t="inlineStr">
        <is>
          <t>Límite conjunto art. 257-1</t>
        </is>
      </c>
      <c r="B16" s="11" t="n">
        <v>0.3</v>
      </c>
      <c r="C16" s="10" t="inlineStr">
        <is>
          <t>Tope conjunto 257-1 + 255/256/257.</t>
        </is>
      </c>
      <c r="D16" s="10" t="inlineStr">
        <is>
          <t>Sí</t>
        </is>
      </c>
      <c r="E16" s="2" t="n"/>
      <c r="F16" s="2" t="n"/>
      <c r="G16" s="2" t="n"/>
      <c r="H16" s="2" t="n"/>
    </row>
    <row r="17">
      <c r="A17" s="8" t="inlineStr">
        <is>
          <t>Límite art. 259-1</t>
        </is>
      </c>
      <c r="B17" s="11" t="n">
        <v>0.03</v>
      </c>
      <c r="C17" s="10" t="inlineStr">
        <is>
          <t>3% para ciertos beneficios sujetos.</t>
        </is>
      </c>
      <c r="D17" s="10" t="inlineStr">
        <is>
          <t>Sí</t>
        </is>
      </c>
      <c r="E17" s="2" t="n"/>
      <c r="F17" s="2" t="n"/>
      <c r="G17" s="2" t="n"/>
      <c r="H17" s="2" t="n"/>
    </row>
    <row r="18">
      <c r="A18" s="8" t="inlineStr">
        <is>
          <t>Tasa mínima TTD</t>
        </is>
      </c>
      <c r="B18" s="11" t="n">
        <v>0.15</v>
      </c>
      <c r="C18" s="10" t="inlineStr">
        <is>
          <t>Tasa mínima de tributación.</t>
        </is>
      </c>
      <c r="D18" s="10" t="inlineStr">
        <is>
          <t>Sí</t>
        </is>
      </c>
      <c r="E18" s="2" t="n"/>
      <c r="F18" s="2" t="n"/>
      <c r="G18" s="2" t="n"/>
      <c r="H18" s="2" t="n"/>
    </row>
  </sheetData>
  <mergeCells count="2">
    <mergeCell ref="A2:H2"/>
    <mergeCell ref="A1:H1"/>
  </mergeCells>
  <dataValidations count="2">
    <dataValidation sqref="B5" showDropDown="0" showInputMessage="0" showErrorMessage="0" allowBlank="0" type="whole" operator="between">
      <formula1>2024</formula1>
      <formula2>2100</formula2>
    </dataValidation>
    <dataValidation sqref="B6 B7 B8 B9 B10 B11 B12 B13 B14 B15 B16 B17 B18" showDropDown="0" showInputMessage="0" showErrorMessage="0" allowBlank="0" type="decimal" operator="between">
      <formula1>0</formula1>
      <formula2>1</formula2>
    </dataValidation>
  </dataValidations>
  <pageMargins left="0.75" right="0.75" top="1" bottom="1" header="0.5" footer="0.5"/>
  <legacyDrawing xmlns:r="http://schemas.openxmlformats.org/officeDocument/2006/relationships" r:id="anysvml"/>
</worksheet>
</file>

<file path=xl/worksheets/sheet5.xml><?xml version="1.0" encoding="utf-8"?>
<worksheet xmlns="http://schemas.openxmlformats.org/spreadsheetml/2006/main">
  <sheetPr>
    <tabColor rgb="00E4DFEC"/>
    <outlinePr summaryBelow="1" summaryRight="1"/>
    <pageSetUpPr/>
  </sheetPr>
  <dimension ref="A1:H20"/>
  <sheetViews>
    <sheetView showGridLines="0" workbookViewId="0">
      <selection activeCell="A1" sqref="A1"/>
    </sheetView>
  </sheetViews>
  <sheetFormatPr baseColWidth="8" defaultRowHeight="15"/>
  <cols>
    <col width="34" customWidth="1" min="1" max="1"/>
    <col width="20" customWidth="1" min="2" max="2"/>
    <col width="32" customWidth="1" min="3" max="3"/>
    <col width="18" customWidth="1" min="4" max="4"/>
    <col width="18" customWidth="1" min="5" max="5"/>
  </cols>
  <sheetData>
    <row r="1" ht="24" customHeight="1">
      <c r="A1" s="1" t="inlineStr">
        <is>
          <t>PERFIL_TRIBUTARIO</t>
        </is>
      </c>
      <c r="B1" s="108" t="n"/>
      <c r="C1" s="108" t="n"/>
      <c r="D1" s="108" t="n"/>
      <c r="E1" s="108" t="n"/>
      <c r="F1" s="108" t="n"/>
      <c r="G1" s="108" t="n"/>
      <c r="H1" s="109" t="n"/>
    </row>
    <row r="2" ht="30" customHeight="1">
      <c r="A2" s="3" t="inlineStr">
        <is>
          <t>Selecciona el perfil fiscal y, sólo si hace falta, usa el puente multi-tarifa para casilla 84.</t>
        </is>
      </c>
      <c r="B2" s="108" t="n"/>
      <c r="C2" s="108" t="n"/>
      <c r="D2" s="108" t="n"/>
      <c r="E2" s="108" t="n"/>
      <c r="F2" s="108" t="n"/>
      <c r="G2" s="108" t="n"/>
      <c r="H2" s="109" t="n"/>
    </row>
    <row r="3">
      <c r="A3" s="2" t="n"/>
      <c r="B3" s="2" t="n"/>
      <c r="C3" s="2" t="n"/>
      <c r="D3" s="2" t="n"/>
      <c r="E3" s="2" t="n"/>
      <c r="F3" s="2" t="n"/>
      <c r="G3" s="2" t="n"/>
      <c r="H3" s="2" t="n"/>
    </row>
    <row r="4">
      <c r="A4" s="7" t="inlineStr">
        <is>
          <t>Driver</t>
        </is>
      </c>
      <c r="B4" s="7" t="inlineStr">
        <is>
          <t>Valor</t>
        </is>
      </c>
      <c r="C4" s="7" t="inlineStr">
        <is>
          <t>Lectura</t>
        </is>
      </c>
      <c r="D4" s="7" t="inlineStr">
        <is>
          <t>Impuesto</t>
        </is>
      </c>
      <c r="E4" s="7" t="inlineStr">
        <is>
          <t>Observación</t>
        </is>
      </c>
      <c r="F4" s="2" t="n"/>
      <c r="G4" s="2" t="n"/>
      <c r="H4" s="2" t="n"/>
    </row>
    <row r="5">
      <c r="A5" s="8" t="inlineStr">
        <is>
          <t>Régimen / perfil principal</t>
        </is>
      </c>
      <c r="B5" s="12" t="inlineStr">
        <is>
          <t>ORDINARIO_35</t>
        </is>
      </c>
      <c r="C5" s="10" t="n"/>
      <c r="D5" s="10" t="n"/>
      <c r="E5" s="10" t="n"/>
      <c r="F5" s="2" t="n"/>
      <c r="G5" s="2" t="n"/>
      <c r="H5" s="2" t="n"/>
    </row>
    <row r="6">
      <c r="A6" s="8" t="inlineStr">
        <is>
          <t>Usar puente multi-tarifa para casilla 84</t>
        </is>
      </c>
      <c r="B6" s="12" t="inlineStr">
        <is>
          <t>No</t>
        </is>
      </c>
      <c r="C6" s="10" t="n"/>
      <c r="D6" s="10" t="n"/>
      <c r="E6" s="10" t="n"/>
      <c r="F6" s="2" t="n"/>
      <c r="G6" s="2" t="n"/>
      <c r="H6" s="2" t="n"/>
    </row>
    <row r="7">
      <c r="A7" s="8" t="inlineStr">
        <is>
          <t>Casilla 84 manual override</t>
        </is>
      </c>
      <c r="B7" s="12" t="n">
        <v>0</v>
      </c>
      <c r="C7" s="10" t="n"/>
      <c r="D7" s="10" t="n"/>
      <c r="E7" s="10" t="n"/>
      <c r="F7" s="2" t="n"/>
      <c r="G7" s="2" t="n"/>
      <c r="H7" s="2" t="n"/>
    </row>
    <row r="8">
      <c r="A8" s="8" t="inlineStr">
        <is>
          <t>Tarifa automática casilla 84</t>
        </is>
      </c>
      <c r="B8" s="13">
        <f>IF(B5="RTE_20",20%,IF(B5="COOPERATIVA_20",20%,IF(B5="EDITORIAL_9",9%,IF(B5="MONOPOLIO_9",9%,IF(B5="HOTELERIA_15",15%,IF(B5="ZESE_0",0,IF(B5="ZESE_17_5",17.5%,IF(B5="ZOMAC_MICRO_PEQUENA",PARAMS!$B$6*50%,IF(B5="ZOMAC_MEDIANA_GRANDE",PARAMS!$B$6*75%,IF(B5="ZF_NO_COMERCIAL_20",20%,0))))))))))</f>
        <v/>
      </c>
      <c r="C8" s="10" t="n"/>
      <c r="D8" s="10" t="n"/>
      <c r="E8" s="10" t="n"/>
      <c r="F8" s="2" t="n"/>
      <c r="G8" s="2" t="n"/>
      <c r="H8" s="2" t="n"/>
    </row>
    <row r="9">
      <c r="A9" s="8" t="inlineStr">
        <is>
          <t>Tarifa general GO</t>
        </is>
      </c>
      <c r="B9" s="13">
        <f>IF(B5="ZOMAC_MICRO_PEQUENA",PARAMS!$B$12,IF(B5="ZOMAC_MEDIANA_GRANDE",PARAMS!$B$13,PARAMS!$B$10))</f>
        <v/>
      </c>
      <c r="C9" s="10" t="n"/>
      <c r="D9" s="10" t="n"/>
      <c r="E9" s="10" t="n"/>
      <c r="F9" s="2" t="n"/>
      <c r="G9" s="2" t="n"/>
      <c r="H9" s="2" t="n"/>
    </row>
    <row r="10">
      <c r="A10" s="8" t="inlineStr">
        <is>
          <t>Tasa adicional casilla 85</t>
        </is>
      </c>
      <c r="B10" s="11" t="n">
        <v>0</v>
      </c>
      <c r="C10" s="10" t="n"/>
      <c r="D10" s="10" t="n"/>
      <c r="E10" s="10" t="n"/>
      <c r="F10" s="2" t="n"/>
      <c r="G10" s="2" t="n"/>
      <c r="H10" s="2" t="n"/>
    </row>
    <row r="11">
      <c r="A11" s="8" t="inlineStr">
        <is>
          <t>Estados financieros consolidados</t>
        </is>
      </c>
      <c r="B11" s="12" t="inlineStr">
        <is>
          <t>No</t>
        </is>
      </c>
      <c r="C11" s="10" t="n"/>
      <c r="D11" s="10" t="n"/>
      <c r="E11" s="10" t="n"/>
      <c r="F11" s="2" t="n"/>
      <c r="G11" s="2" t="n"/>
      <c r="H11" s="2" t="n"/>
    </row>
    <row r="12">
      <c r="A12" s="10" t="n"/>
      <c r="B12" s="10" t="n"/>
      <c r="C12" s="10" t="n"/>
      <c r="D12" s="10" t="n"/>
      <c r="E12" s="10" t="n"/>
      <c r="F12" s="2" t="n"/>
      <c r="G12" s="2" t="n"/>
      <c r="H12" s="2" t="n"/>
    </row>
    <row r="13">
      <c r="A13" s="8" t="inlineStr">
        <is>
          <t>Base 0%</t>
        </is>
      </c>
      <c r="B13" s="14" t="n">
        <v>0</v>
      </c>
      <c r="C13" s="15" t="n">
        <v>0</v>
      </c>
      <c r="D13" s="16">
        <f>ROUND(B13*C13,0)</f>
        <v/>
      </c>
      <c r="E13" s="8" t="inlineStr">
        <is>
          <t>Total puente casilla 84</t>
        </is>
      </c>
      <c r="F13" s="2" t="n"/>
      <c r="G13" s="2" t="n"/>
      <c r="H13" s="2" t="n"/>
    </row>
    <row r="14">
      <c r="A14" s="8" t="inlineStr">
        <is>
          <t>Base 9%</t>
        </is>
      </c>
      <c r="B14" s="14" t="n">
        <v>0</v>
      </c>
      <c r="C14" s="15" t="n">
        <v>0.09</v>
      </c>
      <c r="D14" s="16">
        <f>ROUND(B14*C14,0)</f>
        <v/>
      </c>
      <c r="E14" s="16">
        <f>ROUND(SUM(D13:D20),0)</f>
        <v/>
      </c>
      <c r="F14" s="2" t="n"/>
      <c r="G14" s="2" t="n"/>
      <c r="H14" s="2" t="n"/>
    </row>
    <row r="15">
      <c r="A15" s="8" t="inlineStr">
        <is>
          <t>Base 15%</t>
        </is>
      </c>
      <c r="B15" s="14" t="n">
        <v>0</v>
      </c>
      <c r="C15" s="15" t="n">
        <v>0.15</v>
      </c>
      <c r="D15" s="16">
        <f>ROUND(B15*C15,0)</f>
        <v/>
      </c>
      <c r="E15" s="10" t="n"/>
      <c r="F15" s="2" t="n"/>
      <c r="G15" s="2" t="n"/>
      <c r="H15" s="2" t="n"/>
    </row>
    <row r="16">
      <c r="A16" s="8" t="inlineStr">
        <is>
          <t>Base 17.5%</t>
        </is>
      </c>
      <c r="B16" s="14" t="n">
        <v>0</v>
      </c>
      <c r="C16" s="15" t="n">
        <v>0.175</v>
      </c>
      <c r="D16" s="16">
        <f>ROUND(B16*C16,0)</f>
        <v/>
      </c>
      <c r="E16" s="10" t="n"/>
      <c r="F16" s="2" t="n"/>
      <c r="G16" s="2" t="n"/>
      <c r="H16" s="2" t="n"/>
    </row>
    <row r="17">
      <c r="A17" s="8" t="inlineStr">
        <is>
          <t>Base 20%</t>
        </is>
      </c>
      <c r="B17" s="14" t="n">
        <v>0</v>
      </c>
      <c r="C17" s="15" t="n">
        <v>0.2</v>
      </c>
      <c r="D17" s="16">
        <f>ROUND(B17*C17,0)</f>
        <v/>
      </c>
      <c r="E17" s="10" t="n"/>
      <c r="F17" s="2" t="n"/>
      <c r="G17" s="2" t="n"/>
      <c r="H17" s="2" t="n"/>
    </row>
    <row r="18">
      <c r="A18" s="8" t="inlineStr">
        <is>
          <t>Base 26.25%</t>
        </is>
      </c>
      <c r="B18" s="14" t="n">
        <v>0</v>
      </c>
      <c r="C18" s="15" t="n">
        <v>0.2625</v>
      </c>
      <c r="D18" s="16">
        <f>ROUND(B18*C18,0)</f>
        <v/>
      </c>
      <c r="E18" s="10" t="n"/>
      <c r="F18" s="2" t="n"/>
      <c r="G18" s="2" t="n"/>
      <c r="H18" s="2" t="n"/>
    </row>
    <row r="19">
      <c r="A19" s="8" t="inlineStr">
        <is>
          <t>Base 35%</t>
        </is>
      </c>
      <c r="B19" s="14" t="n">
        <v>0</v>
      </c>
      <c r="C19" s="15" t="n">
        <v>0.35</v>
      </c>
      <c r="D19" s="16">
        <f>ROUND(B19*C19,0)</f>
        <v/>
      </c>
      <c r="E19" s="10" t="n"/>
      <c r="F19" s="2" t="n"/>
      <c r="G19" s="2" t="n"/>
      <c r="H19" s="2" t="n"/>
    </row>
    <row r="20">
      <c r="A20" s="8" t="inlineStr">
        <is>
          <t>Base otra tarifa</t>
        </is>
      </c>
      <c r="B20" s="14" t="n">
        <v>0</v>
      </c>
      <c r="C20" s="11" t="n">
        <v>0</v>
      </c>
      <c r="D20" s="16">
        <f>ROUND(B20*C20,0)</f>
        <v/>
      </c>
      <c r="E20" s="10" t="n"/>
      <c r="F20" s="2" t="n"/>
      <c r="G20" s="2" t="n"/>
      <c r="H20" s="2" t="n"/>
    </row>
  </sheetData>
  <mergeCells count="2">
    <mergeCell ref="A2:H2"/>
    <mergeCell ref="A1:H1"/>
  </mergeCells>
  <dataValidations count="4">
    <dataValidation sqref="B5" showDropDown="0" showInputMessage="0" showErrorMessage="0" allowBlank="0" type="list">
      <formula1>"ORDINARIO_35,RTE_20,COOPERATIVA_20,EDITORIAL_9,MONOPOLIO_9,HOTELERIA_15,ZESE_0,ZESE_17_5,ZOMAC_MICRO_PEQUENA,ZOMAC_MEDIANA_GRANDE,ZF_NO_COMERCIAL_20,ZF_COMERCIAL_MIXTO,MULTI_TARIFA_MANUAL"</formula1>
    </dataValidation>
    <dataValidation sqref="B6 B11" showDropDown="0" showInputMessage="0" showErrorMessage="0" allowBlank="0" type="list">
      <formula1>"Si,No"</formula1>
    </dataValidation>
    <dataValidation sqref="B10 C20" showDropDown="0" showInputMessage="0" showErrorMessage="0" allowBlank="0" type="decimal" operator="between">
      <formula1>0</formula1>
      <formula2>1</formula2>
    </dataValidation>
    <dataValidation sqref="B7 B8 B9 B10 B11 B12 B13 B14 B15 B16 B17 B18 B19 B20" showDropDown="0" showInputMessage="0" showErrorMessage="0" allowBlank="0" type="decimal" operator="greaterThanOrEqual">
      <formula1>0</formula1>
    </dataValidation>
  </dataValidations>
  <pageMargins left="0.75" right="0.75" top="1" bottom="1" header="0.5" footer="0.5"/>
  <legacyDrawing xmlns:r="http://schemas.openxmlformats.org/officeDocument/2006/relationships" r:id="anysvml"/>
</worksheet>
</file>

<file path=xl/worksheets/sheet6.xml><?xml version="1.0" encoding="utf-8"?>
<worksheet xmlns="http://schemas.openxmlformats.org/spreadsheetml/2006/main">
  <sheetPr>
    <tabColor rgb="00AFC6E9"/>
    <outlinePr summaryBelow="1" summaryRight="1"/>
    <pageSetUpPr/>
  </sheetPr>
  <dimension ref="A1:H75"/>
  <sheetViews>
    <sheetView showGridLines="0" workbookViewId="0">
      <pane xSplit="3" ySplit="4" topLeftCell="D5" activePane="bottomRight" state="frozen"/>
      <selection pane="topRight" activeCell="A1" sqref="A1"/>
      <selection pane="bottomLeft" activeCell="A1" sqref="A1"/>
      <selection pane="bottomRight" activeCell="A1" sqref="A1"/>
    </sheetView>
  </sheetViews>
  <sheetFormatPr baseColWidth="8" defaultRowHeight="15"/>
  <cols>
    <col width="22" customWidth="1" min="1" max="1"/>
    <col width="18" customWidth="1" min="2" max="2"/>
    <col width="46" customWidth="1" min="3" max="3"/>
    <col width="18" customWidth="1" min="4" max="4"/>
    <col width="14" customWidth="1" min="5" max="5"/>
    <col width="28" customWidth="1" min="6" max="6"/>
    <col width="42" customWidth="1" min="7" max="7"/>
    <col width="38" customWidth="1" min="8" max="8"/>
  </cols>
  <sheetData>
    <row r="1" ht="24" customHeight="1">
      <c r="A1" s="1" t="inlineStr">
        <is>
          <t>INPUTS_110</t>
        </is>
      </c>
      <c r="B1" s="108" t="n"/>
      <c r="C1" s="108" t="n"/>
      <c r="D1" s="108" t="n"/>
      <c r="E1" s="108" t="n"/>
      <c r="F1" s="108" t="n"/>
      <c r="G1" s="108" t="n"/>
      <c r="H1" s="109" t="n"/>
    </row>
    <row r="2" ht="30" customHeight="1">
      <c r="A2" s="3" t="inlineStr">
        <is>
          <t>Diligencia sólo las celdas azules. La plantilla calculará automáticamente la liquidación oficial AG 2025.</t>
        </is>
      </c>
      <c r="B2" s="108" t="n"/>
      <c r="C2" s="108" t="n"/>
      <c r="D2" s="108" t="n"/>
      <c r="E2" s="108" t="n"/>
      <c r="F2" s="108" t="n"/>
      <c r="G2" s="108" t="n"/>
      <c r="H2" s="109" t="n"/>
    </row>
    <row r="3">
      <c r="A3" s="2" t="n"/>
      <c r="B3" s="2" t="n"/>
      <c r="C3" s="2" t="n"/>
      <c r="D3" s="2" t="n"/>
      <c r="E3" s="2" t="n"/>
      <c r="F3" s="2" t="n"/>
      <c r="G3" s="2" t="n"/>
      <c r="H3" s="2" t="n"/>
    </row>
    <row r="4">
      <c r="A4" s="7" t="inlineStr">
        <is>
          <t>Sección</t>
        </is>
      </c>
      <c r="B4" s="7" t="inlineStr">
        <is>
          <t>Casilla / Driver</t>
        </is>
      </c>
      <c r="C4" s="7" t="inlineStr">
        <is>
          <t>Concepto</t>
        </is>
      </c>
      <c r="D4" s="7" t="inlineStr">
        <is>
          <t>Valor usuario</t>
        </is>
      </c>
      <c r="E4" s="7" t="inlineStr">
        <is>
          <t>Tipo</t>
        </is>
      </c>
      <c r="F4" s="7" t="inlineStr">
        <is>
          <t>Fuente sugerida</t>
        </is>
      </c>
      <c r="G4" s="7" t="inlineStr">
        <is>
          <t>Guía práctica</t>
        </is>
      </c>
      <c r="H4" s="7" t="inlineStr">
        <is>
          <t>Observación crítica</t>
        </is>
      </c>
    </row>
    <row r="5">
      <c r="A5" s="17" t="inlineStr">
        <is>
          <t>DATOS GENERALES</t>
        </is>
      </c>
      <c r="B5" s="122" t="n"/>
      <c r="C5" s="122" t="n"/>
      <c r="D5" s="122" t="n"/>
      <c r="E5" s="122" t="n"/>
      <c r="F5" s="122" t="n"/>
      <c r="G5" s="122" t="n"/>
      <c r="H5" s="123" t="n"/>
    </row>
    <row r="6">
      <c r="A6" s="8" t="inlineStr">
        <is>
          <t>DATOS GENERALES</t>
        </is>
      </c>
      <c r="B6" s="8" t="inlineStr">
        <is>
          <t>1</t>
        </is>
      </c>
      <c r="C6" s="10" t="inlineStr">
        <is>
          <t>Año gravable</t>
        </is>
      </c>
      <c r="D6" s="18" t="n">
        <v>2025</v>
      </c>
      <c r="E6" s="10" t="inlineStr">
        <is>
          <t>Entero</t>
        </is>
      </c>
      <c r="F6" s="10" t="inlineStr">
        <is>
          <t>DIAN / período declarado</t>
        </is>
      </c>
      <c r="G6" s="10" t="inlineStr">
        <is>
          <t>Debe coincidir con el AG 2025.</t>
        </is>
      </c>
      <c r="H6" s="10" t="inlineStr"/>
    </row>
    <row r="7">
      <c r="A7" s="8" t="inlineStr">
        <is>
          <t>DATOS GENERALES</t>
        </is>
      </c>
      <c r="B7" s="8" t="inlineStr">
        <is>
          <t>4</t>
        </is>
      </c>
      <c r="C7" s="10" t="inlineStr">
        <is>
          <t>Número de formulario</t>
        </is>
      </c>
      <c r="D7" s="18" t="n">
        <v>0</v>
      </c>
      <c r="E7" s="10" t="inlineStr">
        <is>
          <t>Entero</t>
        </is>
      </c>
      <c r="F7" s="10" t="inlineStr">
        <is>
          <t>Formulario DIAN / borrador</t>
        </is>
      </c>
      <c r="G7" s="10" t="inlineStr">
        <is>
          <t>Opcional mientras sea borrador interno.</t>
        </is>
      </c>
      <c r="H7" s="10" t="inlineStr"/>
    </row>
    <row r="8">
      <c r="A8" s="8" t="inlineStr">
        <is>
          <t>DATOS GENERALES</t>
        </is>
      </c>
      <c r="B8" s="8" t="inlineStr">
        <is>
          <t>5</t>
        </is>
      </c>
      <c r="C8" s="10" t="inlineStr">
        <is>
          <t>NIT</t>
        </is>
      </c>
      <c r="D8" s="18" t="n">
        <v>901234567</v>
      </c>
      <c r="E8" s="10" t="inlineStr">
        <is>
          <t>Entero</t>
        </is>
      </c>
      <c r="F8" s="10" t="inlineStr">
        <is>
          <t>RUT</t>
        </is>
      </c>
      <c r="G8" s="10" t="inlineStr">
        <is>
          <t>Sin dígito de verificación.</t>
        </is>
      </c>
      <c r="H8" s="10" t="inlineStr"/>
    </row>
    <row r="9">
      <c r="A9" s="8" t="inlineStr">
        <is>
          <t>DATOS GENERALES</t>
        </is>
      </c>
      <c r="B9" s="8" t="inlineStr">
        <is>
          <t>6</t>
        </is>
      </c>
      <c r="C9" s="10" t="inlineStr">
        <is>
          <t>DV</t>
        </is>
      </c>
      <c r="D9" s="18" t="n">
        <v>7</v>
      </c>
      <c r="E9" s="10" t="inlineStr">
        <is>
          <t>Entero</t>
        </is>
      </c>
      <c r="F9" s="10" t="inlineStr">
        <is>
          <t>RUT</t>
        </is>
      </c>
      <c r="G9" s="10" t="inlineStr">
        <is>
          <t>Dígito de verificación.</t>
        </is>
      </c>
      <c r="H9" s="10" t="inlineStr"/>
    </row>
    <row r="10">
      <c r="A10" s="8" t="inlineStr">
        <is>
          <t>DATOS GENERALES</t>
        </is>
      </c>
      <c r="B10" s="8" t="inlineStr">
        <is>
          <t>11</t>
        </is>
      </c>
      <c r="C10" s="10" t="inlineStr">
        <is>
          <t>Razón social</t>
        </is>
      </c>
      <c r="D10" s="12" t="inlineStr">
        <is>
          <t>CIA ABC</t>
        </is>
      </c>
      <c r="E10" s="10" t="inlineStr">
        <is>
          <t>Texto</t>
        </is>
      </c>
      <c r="F10" s="10" t="inlineStr">
        <is>
          <t>RUT / cámara de comercio</t>
        </is>
      </c>
      <c r="G10" s="10" t="inlineStr">
        <is>
          <t>Usa una razón social real antes de presentar.</t>
        </is>
      </c>
      <c r="H10" s="10" t="inlineStr"/>
    </row>
    <row r="11">
      <c r="A11" s="8" t="inlineStr">
        <is>
          <t>DATOS GENERALES</t>
        </is>
      </c>
      <c r="B11" s="8" t="inlineStr">
        <is>
          <t>12</t>
        </is>
      </c>
      <c r="C11" s="10" t="inlineStr">
        <is>
          <t>Cód. dirección seccional</t>
        </is>
      </c>
      <c r="D11" s="18" t="n">
        <v>0</v>
      </c>
      <c r="E11" s="10" t="inlineStr">
        <is>
          <t>Entero</t>
        </is>
      </c>
      <c r="F11" s="10" t="inlineStr">
        <is>
          <t>RUT</t>
        </is>
      </c>
      <c r="G11" s="10" t="inlineStr">
        <is>
          <t>Código DIAN del domicilio fiscal.</t>
        </is>
      </c>
      <c r="H11" s="10" t="inlineStr"/>
    </row>
    <row r="12">
      <c r="A12" s="8" t="inlineStr">
        <is>
          <t>DATOS GENERALES</t>
        </is>
      </c>
      <c r="B12" s="8" t="inlineStr">
        <is>
          <t>24</t>
        </is>
      </c>
      <c r="C12" s="10" t="inlineStr">
        <is>
          <t>Actividad económica principal</t>
        </is>
      </c>
      <c r="D12" s="18" t="n">
        <v>0</v>
      </c>
      <c r="E12" s="10" t="inlineStr">
        <is>
          <t>Entero</t>
        </is>
      </c>
      <c r="F12" s="10" t="inlineStr">
        <is>
          <t>RUT / CIIU</t>
        </is>
      </c>
      <c r="G12" s="10" t="inlineStr">
        <is>
          <t>Debe corresponder a la actividad con mayores ingresos.</t>
        </is>
      </c>
      <c r="H12" s="10" t="inlineStr"/>
    </row>
    <row r="13">
      <c r="A13" s="8" t="inlineStr">
        <is>
          <t>DATOS GENERALES</t>
        </is>
      </c>
      <c r="B13" s="8" t="inlineStr">
        <is>
          <t>25</t>
        </is>
      </c>
      <c r="C13" s="10" t="inlineStr">
        <is>
          <t>Código corrección</t>
        </is>
      </c>
      <c r="D13" s="18" t="n">
        <v>0</v>
      </c>
      <c r="E13" s="10" t="inlineStr">
        <is>
          <t>Entero</t>
        </is>
      </c>
      <c r="F13" s="10" t="inlineStr">
        <is>
          <t>Declaración a corregir</t>
        </is>
      </c>
      <c r="G13" s="10" t="inlineStr">
        <is>
          <t>0 si no aplica.</t>
        </is>
      </c>
      <c r="H13" s="10" t="inlineStr"/>
    </row>
    <row r="14">
      <c r="A14" s="8" t="inlineStr">
        <is>
          <t>DATOS GENERALES</t>
        </is>
      </c>
      <c r="B14" s="8" t="inlineStr">
        <is>
          <t>26</t>
        </is>
      </c>
      <c r="C14" s="10" t="inlineStr">
        <is>
          <t>No. formulario anterior</t>
        </is>
      </c>
      <c r="D14" s="18" t="n">
        <v>0</v>
      </c>
      <c r="E14" s="10" t="inlineStr">
        <is>
          <t>Entero</t>
        </is>
      </c>
      <c r="F14" s="10" t="inlineStr">
        <is>
          <t>Declaración anterior</t>
        </is>
      </c>
      <c r="G14" s="10" t="inlineStr">
        <is>
          <t>0 si no aplica.</t>
        </is>
      </c>
      <c r="H14" s="10" t="inlineStr"/>
    </row>
    <row r="15">
      <c r="A15" s="8" t="inlineStr">
        <is>
          <t>DATOS GENERALES</t>
        </is>
      </c>
      <c r="B15" s="8" t="inlineStr">
        <is>
          <t>29</t>
        </is>
      </c>
      <c r="C15" s="10" t="inlineStr">
        <is>
          <t>Fracción año gravable siguiente (1=Si, 0=No)</t>
        </is>
      </c>
      <c r="D15" s="18" t="n">
        <v>0</v>
      </c>
      <c r="E15" s="10" t="inlineStr">
        <is>
          <t>Booleano</t>
        </is>
      </c>
      <c r="F15" s="10" t="inlineStr">
        <is>
          <t>Caso especial E.T. 595</t>
        </is>
      </c>
      <c r="G15" s="10" t="inlineStr">
        <is>
          <t>Sólo si se declara fracción del período siguiente.</t>
        </is>
      </c>
      <c r="H15" s="10" t="inlineStr"/>
    </row>
    <row r="16">
      <c r="A16" s="8" t="inlineStr">
        <is>
          <t>DATOS GENERALES</t>
        </is>
      </c>
      <c r="B16" s="8" t="inlineStr">
        <is>
          <t>30</t>
        </is>
      </c>
      <c r="C16" s="10" t="inlineStr">
        <is>
          <t>Renunció a pertenecer al RTE (1=Si, 0=No)</t>
        </is>
      </c>
      <c r="D16" s="18" t="n">
        <v>0</v>
      </c>
      <c r="E16" s="10" t="inlineStr">
        <is>
          <t>Booleano</t>
        </is>
      </c>
      <c r="F16" s="10" t="inlineStr">
        <is>
          <t>RTE</t>
        </is>
      </c>
      <c r="G16" s="10" t="inlineStr">
        <is>
          <t>Sólo si la entidad está en RTE.</t>
        </is>
      </c>
      <c r="H16" s="10" t="inlineStr"/>
    </row>
    <row r="17">
      <c r="A17" s="8" t="inlineStr">
        <is>
          <t>DATOS GENERALES</t>
        </is>
      </c>
      <c r="B17" s="8" t="inlineStr">
        <is>
          <t>31</t>
        </is>
      </c>
      <c r="C17" s="10" t="inlineStr">
        <is>
          <t>Vinculado al pago de obras por impuestos (1=Si, 0=No)</t>
        </is>
      </c>
      <c r="D17" s="18" t="n">
        <v>0</v>
      </c>
      <c r="E17" s="10" t="inlineStr">
        <is>
          <t>Booleano</t>
        </is>
      </c>
      <c r="F17" s="10" t="inlineStr">
        <is>
          <t>ART / DNP</t>
        </is>
      </c>
      <c r="G17" s="10" t="inlineStr">
        <is>
          <t>Marca 1 si usarás casillas 100, 101 o 115.</t>
        </is>
      </c>
      <c r="H17" s="10" t="inlineStr"/>
    </row>
    <row r="18">
      <c r="A18" s="17" t="inlineStr">
        <is>
          <t>DATOS INFORMATIVOS</t>
        </is>
      </c>
      <c r="B18" s="122" t="n"/>
      <c r="C18" s="122" t="n"/>
      <c r="D18" s="122" t="n"/>
      <c r="E18" s="122" t="n"/>
      <c r="F18" s="122" t="n"/>
      <c r="G18" s="122" t="n"/>
      <c r="H18" s="123" t="n"/>
    </row>
    <row r="19">
      <c r="A19" s="8" t="inlineStr">
        <is>
          <t>DATOS INFORMATIVOS</t>
        </is>
      </c>
      <c r="B19" s="8" t="inlineStr">
        <is>
          <t>33</t>
        </is>
      </c>
      <c r="C19" s="10" t="inlineStr">
        <is>
          <t>Total costos y gastos de nómina</t>
        </is>
      </c>
      <c r="D19" s="14" t="n">
        <v>0</v>
      </c>
      <c r="E19" s="10" t="inlineStr">
        <is>
          <t>Moneda</t>
        </is>
      </c>
      <c r="F19" s="10" t="inlineStr">
        <is>
          <t>Nómina anual</t>
        </is>
      </c>
      <c r="G19" s="10" t="inlineStr">
        <is>
          <t>Dato informativo de control.</t>
        </is>
      </c>
      <c r="H19" s="10" t="inlineStr"/>
    </row>
    <row r="20">
      <c r="A20" s="8" t="inlineStr">
        <is>
          <t>DATOS INFORMATIVOS</t>
        </is>
      </c>
      <c r="B20" s="8" t="inlineStr">
        <is>
          <t>34</t>
        </is>
      </c>
      <c r="C20" s="10" t="inlineStr">
        <is>
          <t>Aportes al sistema de seguridad social</t>
        </is>
      </c>
      <c r="D20" s="14" t="n">
        <v>0</v>
      </c>
      <c r="E20" s="10" t="inlineStr">
        <is>
          <t>Moneda</t>
        </is>
      </c>
      <c r="F20" s="10" t="inlineStr">
        <is>
          <t>Planillas PILA</t>
        </is>
      </c>
      <c r="G20" s="10" t="inlineStr">
        <is>
          <t>Dato informativo de control.</t>
        </is>
      </c>
      <c r="H20" s="10" t="inlineStr"/>
    </row>
    <row r="21">
      <c r="A21" s="8" t="inlineStr">
        <is>
          <t>DATOS INFORMATIVOS</t>
        </is>
      </c>
      <c r="B21" s="8" t="inlineStr">
        <is>
          <t>35</t>
        </is>
      </c>
      <c r="C21" s="10" t="inlineStr">
        <is>
          <t>Aportes al SENA, ICBF y cajas de compensación</t>
        </is>
      </c>
      <c r="D21" s="14" t="n">
        <v>0</v>
      </c>
      <c r="E21" s="10" t="inlineStr">
        <is>
          <t>Moneda</t>
        </is>
      </c>
      <c r="F21" s="10" t="inlineStr">
        <is>
          <t>Planillas / contabilidad</t>
        </is>
      </c>
      <c r="G21" s="10" t="inlineStr">
        <is>
          <t>Dato informativo de control.</t>
        </is>
      </c>
      <c r="H21" s="10" t="inlineStr"/>
    </row>
    <row r="22">
      <c r="A22" s="17" t="inlineStr">
        <is>
          <t>PATRIMONIO</t>
        </is>
      </c>
      <c r="B22" s="122" t="n"/>
      <c r="C22" s="122" t="n"/>
      <c r="D22" s="122" t="n"/>
      <c r="E22" s="122" t="n"/>
      <c r="F22" s="122" t="n"/>
      <c r="G22" s="122" t="n"/>
      <c r="H22" s="123" t="n"/>
    </row>
    <row r="23">
      <c r="A23" s="8" t="inlineStr">
        <is>
          <t>PATRIMONIO</t>
        </is>
      </c>
      <c r="B23" s="8" t="inlineStr">
        <is>
          <t>36</t>
        </is>
      </c>
      <c r="C23" s="10" t="inlineStr">
        <is>
          <t>Efectivo y equivalentes al efectivo</t>
        </is>
      </c>
      <c r="D23" s="14" t="n">
        <v>0</v>
      </c>
      <c r="E23" s="10" t="inlineStr">
        <is>
          <t>Moneda</t>
        </is>
      </c>
      <c r="F23" s="10" t="inlineStr">
        <is>
          <t>ESF fiscal</t>
        </is>
      </c>
      <c r="G23" s="10" t="inlineStr">
        <is>
          <t>Caja, bancos y equivalentes.</t>
        </is>
      </c>
      <c r="H23" s="10" t="inlineStr"/>
    </row>
    <row r="24">
      <c r="A24" s="8" t="inlineStr">
        <is>
          <t>PATRIMONIO</t>
        </is>
      </c>
      <c r="B24" s="8" t="inlineStr">
        <is>
          <t>37</t>
        </is>
      </c>
      <c r="C24" s="10" t="inlineStr">
        <is>
          <t>Inversiones e instrumentos financieros derivados</t>
        </is>
      </c>
      <c r="D24" s="14" t="n">
        <v>0</v>
      </c>
      <c r="E24" s="10" t="inlineStr">
        <is>
          <t>Moneda</t>
        </is>
      </c>
      <c r="F24" s="10" t="inlineStr">
        <is>
          <t>ESF fiscal</t>
        </is>
      </c>
      <c r="G24" s="10" t="inlineStr">
        <is>
          <t>Incluye inversiones valoradas fiscalmente.</t>
        </is>
      </c>
      <c r="H24" s="10" t="inlineStr"/>
    </row>
    <row r="25">
      <c r="A25" s="8" t="inlineStr">
        <is>
          <t>PATRIMONIO</t>
        </is>
      </c>
      <c r="B25" s="8" t="inlineStr">
        <is>
          <t>38</t>
        </is>
      </c>
      <c r="C25" s="10" t="inlineStr">
        <is>
          <t>Cuentas, documentos y arrendamientos financieros por cobrar</t>
        </is>
      </c>
      <c r="D25" s="14" t="n">
        <v>0</v>
      </c>
      <c r="E25" s="10" t="inlineStr">
        <is>
          <t>Moneda</t>
        </is>
      </c>
      <c r="F25" s="10" t="inlineStr">
        <is>
          <t>ESF fiscal</t>
        </is>
      </c>
      <c r="G25" s="10" t="inlineStr">
        <is>
          <t>Incluye cuentas por cobrar y similares.</t>
        </is>
      </c>
      <c r="H25" s="10" t="inlineStr"/>
    </row>
    <row r="26">
      <c r="A26" s="8" t="inlineStr">
        <is>
          <t>PATRIMONIO</t>
        </is>
      </c>
      <c r="B26" s="8" t="inlineStr">
        <is>
          <t>39</t>
        </is>
      </c>
      <c r="C26" s="10" t="inlineStr">
        <is>
          <t>Inventarios</t>
        </is>
      </c>
      <c r="D26" s="14" t="n">
        <v>0</v>
      </c>
      <c r="E26" s="10" t="inlineStr">
        <is>
          <t>Moneda</t>
        </is>
      </c>
      <c r="F26" s="10" t="inlineStr">
        <is>
          <t>ESF fiscal</t>
        </is>
      </c>
      <c r="G26" s="10" t="inlineStr">
        <is>
          <t>Costo fiscal de inventarios al cierre.</t>
        </is>
      </c>
      <c r="H26" s="10" t="inlineStr"/>
    </row>
    <row r="27">
      <c r="A27" s="8" t="inlineStr">
        <is>
          <t>PATRIMONIO</t>
        </is>
      </c>
      <c r="B27" s="8" t="inlineStr">
        <is>
          <t>40</t>
        </is>
      </c>
      <c r="C27" s="10" t="inlineStr">
        <is>
          <t>Activos intangibles</t>
        </is>
      </c>
      <c r="D27" s="14" t="n">
        <v>0</v>
      </c>
      <c r="E27" s="10" t="inlineStr">
        <is>
          <t>Moneda</t>
        </is>
      </c>
      <c r="F27" s="10" t="inlineStr">
        <is>
          <t>ESF fiscal</t>
        </is>
      </c>
      <c r="G27" s="10" t="inlineStr">
        <is>
          <t>Neto fiscal del período.</t>
        </is>
      </c>
      <c r="H27" s="10" t="inlineStr"/>
    </row>
    <row r="28">
      <c r="A28" s="8" t="inlineStr">
        <is>
          <t>PATRIMONIO</t>
        </is>
      </c>
      <c r="B28" s="8" t="inlineStr">
        <is>
          <t>41</t>
        </is>
      </c>
      <c r="C28" s="10" t="inlineStr">
        <is>
          <t>Activos biológicos</t>
        </is>
      </c>
      <c r="D28" s="14" t="n">
        <v>0</v>
      </c>
      <c r="E28" s="10" t="inlineStr">
        <is>
          <t>Moneda</t>
        </is>
      </c>
      <c r="F28" s="10" t="inlineStr">
        <is>
          <t>ESF fiscal</t>
        </is>
      </c>
      <c r="G28" s="10" t="inlineStr">
        <is>
          <t>Sólo si aplica.</t>
        </is>
      </c>
      <c r="H28" s="10" t="inlineStr"/>
    </row>
    <row r="29">
      <c r="A29" s="8" t="inlineStr">
        <is>
          <t>PATRIMONIO</t>
        </is>
      </c>
      <c r="B29" s="8" t="inlineStr">
        <is>
          <t>42</t>
        </is>
      </c>
      <c r="C29" s="10" t="inlineStr">
        <is>
          <t>Propiedades, planta y equipo, propiedades de inversión y ANCMV</t>
        </is>
      </c>
      <c r="D29" s="14" t="n">
        <v>0</v>
      </c>
      <c r="E29" s="10" t="inlineStr">
        <is>
          <t>Moneda</t>
        </is>
      </c>
      <c r="F29" s="10" t="inlineStr">
        <is>
          <t>ESF fiscal</t>
        </is>
      </c>
      <c r="G29" s="10" t="inlineStr">
        <is>
          <t>Valor fiscal neto.</t>
        </is>
      </c>
      <c r="H29" s="10" t="inlineStr"/>
    </row>
    <row r="30">
      <c r="A30" s="8" t="inlineStr">
        <is>
          <t>PATRIMONIO</t>
        </is>
      </c>
      <c r="B30" s="8" t="inlineStr">
        <is>
          <t>43</t>
        </is>
      </c>
      <c r="C30" s="10" t="inlineStr">
        <is>
          <t>Otros activos</t>
        </is>
      </c>
      <c r="D30" s="14" t="n">
        <v>0</v>
      </c>
      <c r="E30" s="10" t="inlineStr">
        <is>
          <t>Moneda</t>
        </is>
      </c>
      <c r="F30" s="10" t="inlineStr">
        <is>
          <t>ESF fiscal</t>
        </is>
      </c>
      <c r="G30" s="10" t="inlineStr">
        <is>
          <t>Activos no capturados antes.</t>
        </is>
      </c>
      <c r="H30" s="10" t="inlineStr"/>
    </row>
    <row r="31">
      <c r="A31" s="8" t="inlineStr">
        <is>
          <t>PATRIMONIO</t>
        </is>
      </c>
      <c r="B31" s="8" t="inlineStr">
        <is>
          <t>45</t>
        </is>
      </c>
      <c r="C31" s="10" t="inlineStr">
        <is>
          <t>Pasivos</t>
        </is>
      </c>
      <c r="D31" s="14" t="n">
        <v>0</v>
      </c>
      <c r="E31" s="10" t="inlineStr">
        <is>
          <t>Moneda</t>
        </is>
      </c>
      <c r="F31" s="10" t="inlineStr">
        <is>
          <t>ESF fiscal</t>
        </is>
      </c>
      <c r="G31" s="10" t="inlineStr">
        <is>
          <t>Total pasivos fiscales.</t>
        </is>
      </c>
      <c r="H31" s="10" t="inlineStr"/>
    </row>
    <row r="32">
      <c r="A32" s="17" t="inlineStr">
        <is>
          <t>INGRESOS</t>
        </is>
      </c>
      <c r="B32" s="122" t="n"/>
      <c r="C32" s="122" t="n"/>
      <c r="D32" s="122" t="n"/>
      <c r="E32" s="122" t="n"/>
      <c r="F32" s="122" t="n"/>
      <c r="G32" s="122" t="n"/>
      <c r="H32" s="123" t="n"/>
    </row>
    <row r="33">
      <c r="A33" s="8" t="inlineStr">
        <is>
          <t>INGRESOS</t>
        </is>
      </c>
      <c r="B33" s="8" t="inlineStr">
        <is>
          <t>47</t>
        </is>
      </c>
      <c r="C33" s="10" t="inlineStr">
        <is>
          <t>Ingresos brutos de actividades ordinarias</t>
        </is>
      </c>
      <c r="D33" s="14" t="n">
        <v>0</v>
      </c>
      <c r="E33" s="10" t="inlineStr">
        <is>
          <t>Moneda</t>
        </is>
      </c>
      <c r="F33" s="10" t="inlineStr">
        <is>
          <t>ERI fiscal</t>
        </is>
      </c>
      <c r="G33" s="10" t="inlineStr">
        <is>
          <t>Ingresos del objeto social ordinario.</t>
        </is>
      </c>
      <c r="H33" s="10" t="inlineStr"/>
    </row>
    <row r="34">
      <c r="A34" s="8" t="inlineStr">
        <is>
          <t>INGRESOS</t>
        </is>
      </c>
      <c r="B34" s="8" t="inlineStr">
        <is>
          <t>48</t>
        </is>
      </c>
      <c r="C34" s="10" t="inlineStr">
        <is>
          <t>Ingresos financieros</t>
        </is>
      </c>
      <c r="D34" s="14" t="n">
        <v>0</v>
      </c>
      <c r="E34" s="10" t="inlineStr">
        <is>
          <t>Moneda</t>
        </is>
      </c>
      <c r="F34" s="10" t="inlineStr">
        <is>
          <t>ERI fiscal</t>
        </is>
      </c>
      <c r="G34" s="10" t="inlineStr">
        <is>
          <t>Intereses, diferencia en cambio y similares.</t>
        </is>
      </c>
      <c r="H34" s="10" t="inlineStr"/>
    </row>
    <row r="35">
      <c r="A35" s="8" t="inlineStr">
        <is>
          <t>INGRESOS</t>
        </is>
      </c>
      <c r="B35" s="8" t="inlineStr">
        <is>
          <t>49</t>
        </is>
      </c>
      <c r="C35" s="10" t="inlineStr">
        <is>
          <t>Dividendos y participaciones no constitutivos de renta ni GO</t>
        </is>
      </c>
      <c r="D35" s="14" t="n">
        <v>0</v>
      </c>
      <c r="E35" s="10" t="inlineStr">
        <is>
          <t>Moneda</t>
        </is>
      </c>
      <c r="F35" s="10" t="inlineStr">
        <is>
          <t>Certificados de dividendos</t>
        </is>
      </c>
      <c r="G35" s="10" t="inlineStr">
        <is>
          <t>No confundir con casilla 60.</t>
        </is>
      </c>
      <c r="H35" s="10" t="inlineStr">
        <is>
          <t>Casilla 49 registra dividendos no constitutivos; no se duplique en casilla 60.</t>
        </is>
      </c>
    </row>
    <row r="36">
      <c r="A36" s="8" t="inlineStr">
        <is>
          <t>INGRESOS</t>
        </is>
      </c>
      <c r="B36" s="8" t="inlineStr">
        <is>
          <t>50</t>
        </is>
      </c>
      <c r="C36" s="10" t="inlineStr">
        <is>
          <t>Dividendos distribuidos por entidades no residentes a una CHC y prima en colocación</t>
        </is>
      </c>
      <c r="D36" s="14" t="n">
        <v>0</v>
      </c>
      <c r="E36" s="10" t="inlineStr">
        <is>
          <t>Moneda</t>
        </is>
      </c>
      <c r="F36" s="10" t="inlineStr">
        <is>
          <t>CHC / certificados</t>
        </is>
      </c>
      <c r="G36" s="10" t="inlineStr">
        <is>
          <t>Sólo para CHC habilitada.</t>
        </is>
      </c>
      <c r="H36" s="10" t="inlineStr">
        <is>
          <t>Casilla 50 es muy específica de CHC. Si no tienes CHC habilitada, déjala en cero.</t>
        </is>
      </c>
    </row>
    <row r="37">
      <c r="A37" s="8" t="inlineStr">
        <is>
          <t>INGRESOS</t>
        </is>
      </c>
      <c r="B37" s="8" t="inlineStr">
        <is>
          <t>51</t>
        </is>
      </c>
      <c r="C37" s="10" t="inlineStr">
        <is>
          <t>Dividendos gravados a tarifa general provenientes de sociedades extranjeras o nacionales</t>
        </is>
      </c>
      <c r="D37" s="14" t="n">
        <v>0</v>
      </c>
      <c r="E37" s="10" t="inlineStr">
        <is>
          <t>Moneda</t>
        </is>
      </c>
      <c r="F37" s="10" t="inlineStr">
        <is>
          <t>Certificados de dividendos</t>
        </is>
      </c>
      <c r="G37" s="10" t="inlineStr">
        <is>
          <t>Utilidades gravadas parágrafo 2 art. 49.</t>
        </is>
      </c>
      <c r="H37" s="10" t="inlineStr"/>
    </row>
    <row r="38">
      <c r="A38" s="8" t="inlineStr">
        <is>
          <t>INGRESOS</t>
        </is>
      </c>
      <c r="B38" s="8" t="inlineStr">
        <is>
          <t>52</t>
        </is>
      </c>
      <c r="C38" s="10" t="inlineStr">
        <is>
          <t>Dividendos gravados recibidos por personas naturales sin residencia fiscal (2016 y anteriores)</t>
        </is>
      </c>
      <c r="D38" s="14" t="n">
        <v>0</v>
      </c>
      <c r="E38" s="10" t="inlineStr">
        <is>
          <t>Moneda</t>
        </is>
      </c>
      <c r="F38" s="10" t="inlineStr">
        <is>
          <t>Caso especial</t>
        </is>
      </c>
      <c r="G38" s="10" t="inlineStr">
        <is>
          <t>Normalmente no aplica a una PJ residente.</t>
        </is>
      </c>
      <c r="H38" s="10" t="inlineStr">
        <is>
          <t>Casilla típica de persona natural no residente. Para una PJ residente, usualmente queda en cero.</t>
        </is>
      </c>
    </row>
    <row r="39">
      <c r="A39" s="8" t="inlineStr">
        <is>
          <t>INGRESOS</t>
        </is>
      </c>
      <c r="B39" s="8" t="inlineStr">
        <is>
          <t>53</t>
        </is>
      </c>
      <c r="C39" s="10" t="inlineStr">
        <is>
          <t>Dividendos gravados recibidos por personas naturales sin residencia fiscal (2017 y siguientes)</t>
        </is>
      </c>
      <c r="D39" s="14" t="n">
        <v>0</v>
      </c>
      <c r="E39" s="10" t="inlineStr">
        <is>
          <t>Moneda</t>
        </is>
      </c>
      <c r="F39" s="10" t="inlineStr">
        <is>
          <t>Caso especial</t>
        </is>
      </c>
      <c r="G39" s="10" t="inlineStr">
        <is>
          <t>Normalmente no aplica a una PJ residente.</t>
        </is>
      </c>
      <c r="H39" s="10" t="inlineStr">
        <is>
          <t>Casilla típica de persona natural no residente. Para una PJ residente, usualmente queda en cero.</t>
        </is>
      </c>
    </row>
    <row r="40">
      <c r="A40" s="8" t="inlineStr">
        <is>
          <t>INGRESOS</t>
        </is>
      </c>
      <c r="B40" s="8" t="inlineStr">
        <is>
          <t>54</t>
        </is>
      </c>
      <c r="C40" s="10" t="inlineStr">
        <is>
          <t>Dividendos gravados a tarifas de los artículos 245 o 246 E.T.</t>
        </is>
      </c>
      <c r="D40" s="14" t="n">
        <v>0</v>
      </c>
      <c r="E40" s="10" t="inlineStr">
        <is>
          <t>Moneda</t>
        </is>
      </c>
      <c r="F40" s="10" t="inlineStr">
        <is>
          <t>Dividendos a no residentes / EP</t>
        </is>
      </c>
      <c r="G40" s="10" t="inlineStr">
        <is>
          <t>Base de impuesto casilla 86.</t>
        </is>
      </c>
      <c r="H40" s="10" t="inlineStr">
        <is>
          <t>Base de impuesto de dividendos para casilla 86.</t>
        </is>
      </c>
    </row>
    <row r="41">
      <c r="A41" s="8" t="inlineStr">
        <is>
          <t>INGRESOS</t>
        </is>
      </c>
      <c r="B41" s="8" t="inlineStr">
        <is>
          <t>55</t>
        </is>
      </c>
      <c r="C41" s="10" t="inlineStr">
        <is>
          <t>Dividendos gravados a tarifa general (EP y sociedades extranjeras)</t>
        </is>
      </c>
      <c r="D41" s="14" t="n">
        <v>0</v>
      </c>
      <c r="E41" s="10" t="inlineStr">
        <is>
          <t>Moneda</t>
        </is>
      </c>
      <c r="F41" s="10" t="inlineStr">
        <is>
          <t>Dividendos a no residentes / EP</t>
        </is>
      </c>
      <c r="G41" s="10" t="inlineStr">
        <is>
          <t>Base de impuesto casilla 87.</t>
        </is>
      </c>
      <c r="H41" s="10" t="inlineStr">
        <is>
          <t>Base de impuesto de dividendos para casilla 87.</t>
        </is>
      </c>
    </row>
    <row r="42">
      <c r="A42" s="8" t="inlineStr">
        <is>
          <t>INGRESOS</t>
        </is>
      </c>
      <c r="B42" s="8" t="inlineStr">
        <is>
          <t>56</t>
        </is>
      </c>
      <c r="C42" s="10" t="inlineStr">
        <is>
          <t>Dividendos provenientes de megainversión gravados al 27%</t>
        </is>
      </c>
      <c r="D42" s="14" t="n">
        <v>0</v>
      </c>
      <c r="E42" s="10" t="inlineStr">
        <is>
          <t>Moneda</t>
        </is>
      </c>
      <c r="F42" s="10" t="inlineStr">
        <is>
          <t>Caso legado</t>
        </is>
      </c>
      <c r="G42" s="10" t="inlineStr">
        <is>
          <t>Sólo si existe derecho vigente.</t>
        </is>
      </c>
      <c r="H42" s="10" t="inlineStr">
        <is>
          <t>Beneficio legado de megainversión. Verifica soporte normativo vigente antes de usarla.</t>
        </is>
      </c>
    </row>
    <row r="43">
      <c r="A43" s="8" t="inlineStr">
        <is>
          <t>INGRESOS</t>
        </is>
      </c>
      <c r="B43" s="8" t="inlineStr">
        <is>
          <t>57</t>
        </is>
      </c>
      <c r="C43" s="10" t="inlineStr">
        <is>
          <t>Otros ingresos</t>
        </is>
      </c>
      <c r="D43" s="14" t="n">
        <v>0</v>
      </c>
      <c r="E43" s="10" t="inlineStr">
        <is>
          <t>Moneda</t>
        </is>
      </c>
      <c r="F43" s="10" t="inlineStr">
        <is>
          <t>ERI fiscal</t>
        </is>
      </c>
      <c r="G43" s="10" t="inlineStr">
        <is>
          <t>Indemnizaciones, intereses presuntivos, activos &lt;2 años, etc.</t>
        </is>
      </c>
      <c r="H43" s="10" t="inlineStr"/>
    </row>
    <row r="44">
      <c r="A44" s="8" t="inlineStr">
        <is>
          <t>INGRESOS</t>
        </is>
      </c>
      <c r="B44" s="8" t="inlineStr">
        <is>
          <t>59</t>
        </is>
      </c>
      <c r="C44" s="10" t="inlineStr">
        <is>
          <t>Devoluciones, rebajas y descuentos en ventas</t>
        </is>
      </c>
      <c r="D44" s="14" t="n">
        <v>0</v>
      </c>
      <c r="E44" s="10" t="inlineStr">
        <is>
          <t>Moneda</t>
        </is>
      </c>
      <c r="F44" s="10" t="inlineStr">
        <is>
          <t>ERI fiscal</t>
        </is>
      </c>
      <c r="G44" s="10" t="inlineStr">
        <is>
          <t>Debe ser coherente con el período.</t>
        </is>
      </c>
      <c r="H44" s="10" t="inlineStr"/>
    </row>
    <row r="45">
      <c r="A45" s="8" t="inlineStr">
        <is>
          <t>INGRESOS</t>
        </is>
      </c>
      <c r="B45" s="8" t="inlineStr">
        <is>
          <t>60</t>
        </is>
      </c>
      <c r="C45" s="10" t="inlineStr">
        <is>
          <t>Ingresos no constitutivos de renta ni ganancia ocasional</t>
        </is>
      </c>
      <c r="D45" s="14" t="n">
        <v>0</v>
      </c>
      <c r="E45" s="10" t="inlineStr">
        <is>
          <t>Moneda</t>
        </is>
      </c>
      <c r="F45" s="10" t="inlineStr">
        <is>
          <t>Conciliación fiscal</t>
        </is>
      </c>
      <c r="G45" s="10" t="inlineStr">
        <is>
          <t>Sólo los que la ley reconoce expresamente.</t>
        </is>
      </c>
      <c r="H45" s="10" t="inlineStr"/>
    </row>
    <row r="46">
      <c r="A46" s="17" t="inlineStr">
        <is>
          <t>COSTOS Y DEDUCCIONES</t>
        </is>
      </c>
      <c r="B46" s="122" t="n"/>
      <c r="C46" s="122" t="n"/>
      <c r="D46" s="122" t="n"/>
      <c r="E46" s="122" t="n"/>
      <c r="F46" s="122" t="n"/>
      <c r="G46" s="122" t="n"/>
      <c r="H46" s="123" t="n"/>
    </row>
    <row r="47">
      <c r="A47" s="8" t="inlineStr">
        <is>
          <t>COSTOS Y DEDUCCIONES</t>
        </is>
      </c>
      <c r="B47" s="8" t="inlineStr">
        <is>
          <t>62</t>
        </is>
      </c>
      <c r="C47" s="10" t="inlineStr">
        <is>
          <t>Costos</t>
        </is>
      </c>
      <c r="D47" s="14" t="n">
        <v>0</v>
      </c>
      <c r="E47" s="10" t="inlineStr">
        <is>
          <t>Moneda</t>
        </is>
      </c>
      <c r="F47" s="10" t="inlineStr">
        <is>
          <t>ERI fiscal</t>
        </is>
      </c>
      <c r="G47" s="10" t="inlineStr">
        <is>
          <t>Costo de ventas y/o servicios.</t>
        </is>
      </c>
      <c r="H47" s="10" t="inlineStr"/>
    </row>
    <row r="48">
      <c r="A48" s="8" t="inlineStr">
        <is>
          <t>COSTOS Y DEDUCCIONES</t>
        </is>
      </c>
      <c r="B48" s="8" t="inlineStr">
        <is>
          <t>63</t>
        </is>
      </c>
      <c r="C48" s="10" t="inlineStr">
        <is>
          <t>Gastos de administración</t>
        </is>
      </c>
      <c r="D48" s="14" t="n">
        <v>0</v>
      </c>
      <c r="E48" s="10" t="inlineStr">
        <is>
          <t>Moneda</t>
        </is>
      </c>
      <c r="F48" s="10" t="inlineStr">
        <is>
          <t>ERI fiscal</t>
        </is>
      </c>
      <c r="G48" s="10" t="inlineStr">
        <is>
          <t>Aquí suelen quedar impuestos deducibles y GMF si eliges esta clasificación.</t>
        </is>
      </c>
      <c r="H48" s="10" t="inlineStr"/>
    </row>
    <row r="49">
      <c r="A49" s="8" t="inlineStr">
        <is>
          <t>COSTOS Y DEDUCCIONES</t>
        </is>
      </c>
      <c r="B49" s="8" t="inlineStr">
        <is>
          <t>64</t>
        </is>
      </c>
      <c r="C49" s="10" t="inlineStr">
        <is>
          <t>Gastos de distribución y ventas</t>
        </is>
      </c>
      <c r="D49" s="14" t="n">
        <v>0</v>
      </c>
      <c r="E49" s="10" t="inlineStr">
        <is>
          <t>Moneda</t>
        </is>
      </c>
      <c r="F49" s="10" t="inlineStr">
        <is>
          <t>ERI fiscal</t>
        </is>
      </c>
      <c r="G49" s="10" t="inlineStr">
        <is>
          <t>No dupliques gastos ya llevados a 63.</t>
        </is>
      </c>
      <c r="H49" s="10" t="inlineStr"/>
    </row>
    <row r="50">
      <c r="A50" s="8" t="inlineStr">
        <is>
          <t>COSTOS Y DEDUCCIONES</t>
        </is>
      </c>
      <c r="B50" s="8" t="inlineStr">
        <is>
          <t>65</t>
        </is>
      </c>
      <c r="C50" s="10" t="inlineStr">
        <is>
          <t>Gastos financieros</t>
        </is>
      </c>
      <c r="D50" s="14" t="n">
        <v>0</v>
      </c>
      <c r="E50" s="10" t="inlineStr">
        <is>
          <t>Moneda</t>
        </is>
      </c>
      <c r="F50" s="10" t="inlineStr">
        <is>
          <t>ERI fiscal</t>
        </is>
      </c>
      <c r="G50" s="10" t="inlineStr">
        <is>
          <t>Revisar subcapitalización y diferencia en cambio.</t>
        </is>
      </c>
      <c r="H50" s="10" t="inlineStr"/>
    </row>
    <row r="51">
      <c r="A51" s="8" t="inlineStr">
        <is>
          <t>COSTOS Y DEDUCCIONES</t>
        </is>
      </c>
      <c r="B51" s="8" t="inlineStr">
        <is>
          <t>66</t>
        </is>
      </c>
      <c r="C51" s="10" t="inlineStr">
        <is>
          <t>Otros gastos y deducciones</t>
        </is>
      </c>
      <c r="D51" s="14" t="n">
        <v>0</v>
      </c>
      <c r="E51" s="10" t="inlineStr">
        <is>
          <t>Moneda</t>
        </is>
      </c>
      <c r="F51" s="10" t="inlineStr">
        <is>
          <t>ERI fiscal / conciliación</t>
        </is>
      </c>
      <c r="G51" s="10" t="inlineStr">
        <is>
          <t>Suele ser el mejor lugar para deducciones especiales documentadas.</t>
        </is>
      </c>
      <c r="H51" s="10" t="inlineStr"/>
    </row>
    <row r="52">
      <c r="A52" s="8" t="inlineStr">
        <is>
          <t>COSTOS Y DEDUCCIONES</t>
        </is>
      </c>
      <c r="B52" s="8" t="inlineStr">
        <is>
          <t>68</t>
        </is>
      </c>
      <c r="C52" s="10" t="inlineStr">
        <is>
          <t>Inversiones efectuadas en el año (RTE)</t>
        </is>
      </c>
      <c r="D52" s="14" t="n">
        <v>0</v>
      </c>
      <c r="E52" s="10" t="inlineStr">
        <is>
          <t>Moneda</t>
        </is>
      </c>
      <c r="F52" s="10" t="inlineStr">
        <is>
          <t>RTE / DUR 1625</t>
        </is>
      </c>
      <c r="G52" s="10" t="inlineStr">
        <is>
          <t>Sólo aplica a RTE.</t>
        </is>
      </c>
      <c r="H52" s="10" t="inlineStr">
        <is>
          <t>La propia DIAN aclara que 68 sólo debe diligenciarse por entidades del RTE.</t>
        </is>
      </c>
    </row>
    <row r="53">
      <c r="A53" s="8" t="inlineStr">
        <is>
          <t>COSTOS Y DEDUCCIONES</t>
        </is>
      </c>
      <c r="B53" s="8" t="inlineStr">
        <is>
          <t>69</t>
        </is>
      </c>
      <c r="C53" s="10" t="inlineStr">
        <is>
          <t>Inversiones liquidadas de períodos anteriores (RTE)</t>
        </is>
      </c>
      <c r="D53" s="14" t="n">
        <v>0</v>
      </c>
      <c r="E53" s="10" t="inlineStr">
        <is>
          <t>Moneda</t>
        </is>
      </c>
      <c r="F53" s="10" t="inlineStr">
        <is>
          <t>RTE / DUR 1625</t>
        </is>
      </c>
      <c r="G53" s="10" t="inlineStr">
        <is>
          <t>Sólo aplica a RTE.</t>
        </is>
      </c>
      <c r="H53" s="10" t="inlineStr">
        <is>
          <t>La propia DIAN aclara que 69 sólo debe diligenciarse por entidades del RTE.</t>
        </is>
      </c>
    </row>
    <row r="54">
      <c r="A54" s="17" t="inlineStr">
        <is>
          <t>RENTA</t>
        </is>
      </c>
      <c r="B54" s="122" t="n"/>
      <c r="C54" s="122" t="n"/>
      <c r="D54" s="122" t="n"/>
      <c r="E54" s="122" t="n"/>
      <c r="F54" s="122" t="n"/>
      <c r="G54" s="122" t="n"/>
      <c r="H54" s="123" t="n"/>
    </row>
    <row r="55">
      <c r="A55" s="8" t="inlineStr">
        <is>
          <t>RENTA</t>
        </is>
      </c>
      <c r="B55" s="8" t="inlineStr">
        <is>
          <t>70</t>
        </is>
      </c>
      <c r="C55" s="10" t="inlineStr">
        <is>
          <t>Renta por recuperación de deducciones</t>
        </is>
      </c>
      <c r="D55" s="14" t="n">
        <v>0</v>
      </c>
      <c r="E55" s="10" t="inlineStr">
        <is>
          <t>Moneda</t>
        </is>
      </c>
      <c r="F55" s="10" t="inlineStr">
        <is>
          <t>Conciliación fiscal</t>
        </is>
      </c>
      <c r="G55" s="10" t="inlineStr">
        <is>
          <t>No se afecta con costos ni deducciones ordinarias.</t>
        </is>
      </c>
      <c r="H55" s="10" t="inlineStr"/>
    </row>
    <row r="56">
      <c r="A56" s="8" t="inlineStr">
        <is>
          <t>RENTA</t>
        </is>
      </c>
      <c r="B56" s="8" t="inlineStr">
        <is>
          <t>71</t>
        </is>
      </c>
      <c r="C56" s="10" t="inlineStr">
        <is>
          <t>Renta pasiva ECE sin residencia fiscal en Colombia</t>
        </is>
      </c>
      <c r="D56" s="14" t="n">
        <v>0</v>
      </c>
      <c r="E56" s="10" t="inlineStr">
        <is>
          <t>Moneda</t>
        </is>
      </c>
      <c r="F56" s="10" t="inlineStr">
        <is>
          <t>ECE / exterior</t>
        </is>
      </c>
      <c r="G56" s="10" t="inlineStr">
        <is>
          <t>Sólo si existe participación &gt;=10% y aplica ECE.</t>
        </is>
      </c>
      <c r="H56" s="10" t="inlineStr"/>
    </row>
    <row r="57">
      <c r="A57" s="8" t="inlineStr">
        <is>
          <t>RENTA</t>
        </is>
      </c>
      <c r="B57" s="8" t="inlineStr">
        <is>
          <t>74</t>
        </is>
      </c>
      <c r="C57" s="10" t="inlineStr">
        <is>
          <t>Compensaciones (pérdidas fiscales y/o excesos)</t>
        </is>
      </c>
      <c r="D57" s="14" t="n">
        <v>0</v>
      </c>
      <c r="E57" s="10" t="inlineStr">
        <is>
          <t>Moneda</t>
        </is>
      </c>
      <c r="F57" s="10" t="inlineStr">
        <is>
          <t>Control histórico fiscal</t>
        </is>
      </c>
      <c r="G57" s="10" t="inlineStr">
        <is>
          <t>No puede exceder la renta líquida ordinaria del ejercicio.</t>
        </is>
      </c>
      <c r="H57" s="10" t="inlineStr"/>
    </row>
    <row r="58">
      <c r="A58" s="8" t="inlineStr">
        <is>
          <t>RENTA</t>
        </is>
      </c>
      <c r="B58" s="8" t="inlineStr">
        <is>
          <t>76</t>
        </is>
      </c>
      <c r="C58" s="10" t="inlineStr">
        <is>
          <t>Renta presuntiva</t>
        </is>
      </c>
      <c r="D58" s="14" t="n">
        <v>0</v>
      </c>
      <c r="E58" s="10" t="inlineStr">
        <is>
          <t>Moneda</t>
        </is>
      </c>
      <c r="F58" s="10" t="inlineStr">
        <is>
          <t>Cálculo técnico</t>
        </is>
      </c>
      <c r="G58" s="10" t="inlineStr">
        <is>
          <t>AG 2025 usa tarifa 0%; sólo debería haber valor si hay rentas gravables de activos exceptuados.</t>
        </is>
      </c>
      <c r="H58" s="10" t="inlineStr">
        <is>
          <t>No la dejes como valor libre sin soporte. AG 2025 parte de tasa 0%, con reglas especiales de activos exceptuados.</t>
        </is>
      </c>
    </row>
    <row r="59">
      <c r="A59" s="8" t="inlineStr">
        <is>
          <t>RENTA</t>
        </is>
      </c>
      <c r="B59" s="8" t="inlineStr">
        <is>
          <t>77</t>
        </is>
      </c>
      <c r="C59" s="10" t="inlineStr">
        <is>
          <t>Renta exenta</t>
        </is>
      </c>
      <c r="D59" s="14" t="n">
        <v>0</v>
      </c>
      <c r="E59" s="10" t="inlineStr">
        <is>
          <t>Moneda</t>
        </is>
      </c>
      <c r="F59" s="10" t="inlineStr">
        <is>
          <t>Conciliación fiscal</t>
        </is>
      </c>
      <c r="G59" s="10" t="inlineStr">
        <is>
          <t>No puede superar el mayor valor entre casillas 75 y 76.</t>
        </is>
      </c>
      <c r="H59" s="10" t="inlineStr"/>
    </row>
    <row r="60">
      <c r="A60" s="8" t="inlineStr">
        <is>
          <t>RENTA</t>
        </is>
      </c>
      <c r="B60" s="8" t="inlineStr">
        <is>
          <t>78</t>
        </is>
      </c>
      <c r="C60" s="10" t="inlineStr">
        <is>
          <t>Rentas gravables</t>
        </is>
      </c>
      <c r="D60" s="14" t="n">
        <v>0</v>
      </c>
      <c r="E60" s="10" t="inlineStr">
        <is>
          <t>Moneda</t>
        </is>
      </c>
      <c r="F60" s="10" t="inlineStr">
        <is>
          <t>Conciliación fiscal</t>
        </is>
      </c>
      <c r="G60" s="10" t="inlineStr">
        <is>
          <t>Ej. activos omitidos o comparación patrimonial.</t>
        </is>
      </c>
      <c r="H60" s="10" t="inlineStr"/>
    </row>
    <row r="61">
      <c r="A61" s="17" t="inlineStr">
        <is>
          <t>GANANCIAS OCASIONALES</t>
        </is>
      </c>
      <c r="B61" s="122" t="n"/>
      <c r="C61" s="122" t="n"/>
      <c r="D61" s="122" t="n"/>
      <c r="E61" s="122" t="n"/>
      <c r="F61" s="122" t="n"/>
      <c r="G61" s="122" t="n"/>
      <c r="H61" s="123" t="n"/>
    </row>
    <row r="62">
      <c r="A62" s="8" t="inlineStr">
        <is>
          <t>GANANCIAS OCASIONALES</t>
        </is>
      </c>
      <c r="B62" s="8" t="inlineStr">
        <is>
          <t>80</t>
        </is>
      </c>
      <c r="C62" s="10" t="inlineStr">
        <is>
          <t>Ingresos por ganancias ocasionales</t>
        </is>
      </c>
      <c r="D62" s="14" t="n">
        <v>0</v>
      </c>
      <c r="E62" s="10" t="inlineStr">
        <is>
          <t>Moneda</t>
        </is>
      </c>
      <c r="F62" s="10" t="inlineStr">
        <is>
          <t>Soportes de GO</t>
        </is>
      </c>
      <c r="G62" s="10" t="inlineStr">
        <is>
          <t>Venta de activos fijos &gt;2 años, donaciones, rifas, etc.</t>
        </is>
      </c>
      <c r="H62" s="10" t="inlineStr"/>
    </row>
    <row r="63">
      <c r="A63" s="8" t="inlineStr">
        <is>
          <t>GANANCIAS OCASIONALES</t>
        </is>
      </c>
      <c r="B63" s="8" t="inlineStr">
        <is>
          <t>81</t>
        </is>
      </c>
      <c r="C63" s="10" t="inlineStr">
        <is>
          <t>Costos por ganancias ocasionales</t>
        </is>
      </c>
      <c r="D63" s="14" t="n">
        <v>0</v>
      </c>
      <c r="E63" s="10" t="inlineStr">
        <is>
          <t>Moneda</t>
        </is>
      </c>
      <c r="F63" s="10" t="inlineStr">
        <is>
          <t>Soportes de GO</t>
        </is>
      </c>
      <c r="G63" s="10" t="inlineStr">
        <is>
          <t>Costo fiscal asociado.</t>
        </is>
      </c>
      <c r="H63" s="10" t="inlineStr"/>
    </row>
    <row r="64">
      <c r="A64" s="8" t="inlineStr">
        <is>
          <t>GANANCIAS OCASIONALES</t>
        </is>
      </c>
      <c r="B64" s="8" t="inlineStr">
        <is>
          <t>82</t>
        </is>
      </c>
      <c r="C64" s="10" t="inlineStr">
        <is>
          <t>Ganancias ocasionales no gravadas y exentas</t>
        </is>
      </c>
      <c r="D64" s="14" t="n">
        <v>0</v>
      </c>
      <c r="E64" s="10" t="inlineStr">
        <is>
          <t>Moneda</t>
        </is>
      </c>
      <c r="F64" s="10" t="inlineStr">
        <is>
          <t>Soportes de GO</t>
        </is>
      </c>
      <c r="G64" s="10" t="inlineStr">
        <is>
          <t>No puede superar 80 - 81.</t>
        </is>
      </c>
      <c r="H64" s="10" t="inlineStr"/>
    </row>
    <row r="65">
      <c r="A65" s="8" t="inlineStr">
        <is>
          <t>GANANCIAS OCASIONALES</t>
        </is>
      </c>
      <c r="B65" s="8" t="inlineStr">
        <is>
          <t>GO_LOTTERY_BASE</t>
        </is>
      </c>
      <c r="C65" s="10" t="inlineStr">
        <is>
          <t>Porción de la casilla 83 gravada al 20% (loterías, rifas, apuestas)</t>
        </is>
      </c>
      <c r="D65" s="14" t="n">
        <v>0</v>
      </c>
      <c r="E65" s="10" t="inlineStr">
        <is>
          <t>Moneda</t>
        </is>
      </c>
      <c r="F65" s="10" t="inlineStr">
        <is>
          <t>Soportes de GO</t>
        </is>
      </c>
      <c r="G65" s="10" t="inlineStr">
        <is>
          <t>Debe ser menor o igual a la casilla 83.</t>
        </is>
      </c>
      <c r="H65" s="10" t="inlineStr">
        <is>
          <t>Sólo la porción de la casilla 83 que corresponda a loterías, rifas y apuestas va al 20%.</t>
        </is>
      </c>
    </row>
    <row r="66">
      <c r="A66" s="17" t="inlineStr">
        <is>
          <t>PAGOS, RETENCIONES Y OTROS</t>
        </is>
      </c>
      <c r="B66" s="122" t="n"/>
      <c r="C66" s="122" t="n"/>
      <c r="D66" s="122" t="n"/>
      <c r="E66" s="122" t="n"/>
      <c r="F66" s="122" t="n"/>
      <c r="G66" s="122" t="n"/>
      <c r="H66" s="123" t="n"/>
    </row>
    <row r="67">
      <c r="A67" s="8" t="inlineStr">
        <is>
          <t>PAGOS, RETENCIONES Y OTROS</t>
        </is>
      </c>
      <c r="B67" s="8" t="inlineStr">
        <is>
          <t>103</t>
        </is>
      </c>
      <c r="C67" s="10" t="inlineStr">
        <is>
          <t>Anticipo renta liquidado año gravable anterior</t>
        </is>
      </c>
      <c r="D67" s="14" t="n">
        <v>0</v>
      </c>
      <c r="E67" s="10" t="inlineStr">
        <is>
          <t>Moneda</t>
        </is>
      </c>
      <c r="F67" s="10" t="inlineStr">
        <is>
          <t>Declaración anterior</t>
        </is>
      </c>
      <c r="G67" s="10" t="inlineStr">
        <is>
          <t>Traza exacta del año anterior.</t>
        </is>
      </c>
      <c r="H67" s="10" t="inlineStr"/>
    </row>
    <row r="68">
      <c r="A68" s="8" t="inlineStr">
        <is>
          <t>PAGOS, RETENCIONES Y OTROS</t>
        </is>
      </c>
      <c r="B68" s="8" t="inlineStr">
        <is>
          <t>104</t>
        </is>
      </c>
      <c r="C68" s="10" t="inlineStr">
        <is>
          <t>Saldo a favor año gravable anterior sin devolución ni compensación</t>
        </is>
      </c>
      <c r="D68" s="14" t="n">
        <v>0</v>
      </c>
      <c r="E68" s="10" t="inlineStr">
        <is>
          <t>Moneda</t>
        </is>
      </c>
      <c r="F68" s="10" t="inlineStr">
        <is>
          <t>Declaración anterior</t>
        </is>
      </c>
      <c r="G68" s="10" t="inlineStr">
        <is>
          <t>Usa sólo saldo aplicable.</t>
        </is>
      </c>
      <c r="H68" s="10" t="inlineStr"/>
    </row>
    <row r="69">
      <c r="A69" s="8" t="inlineStr">
        <is>
          <t>PAGOS, RETENCIONES Y OTROS</t>
        </is>
      </c>
      <c r="B69" s="8" t="inlineStr">
        <is>
          <t>105</t>
        </is>
      </c>
      <c r="C69" s="10" t="inlineStr">
        <is>
          <t>Autorretenciones</t>
        </is>
      </c>
      <c r="D69" s="14" t="n">
        <v>0</v>
      </c>
      <c r="E69" s="10" t="inlineStr">
        <is>
          <t>Moneda</t>
        </is>
      </c>
      <c r="F69" s="10" t="inlineStr">
        <is>
          <t>Certificados / contabilidad</t>
        </is>
      </c>
      <c r="G69" s="10" t="inlineStr">
        <is>
          <t>Incluye autorretenciones art. 1.2.6.6 DUR 1625/2016.</t>
        </is>
      </c>
      <c r="H69" s="10" t="inlineStr"/>
    </row>
    <row r="70">
      <c r="A70" s="8" t="inlineStr">
        <is>
          <t>PAGOS, RETENCIONES Y OTROS</t>
        </is>
      </c>
      <c r="B70" s="8" t="inlineStr">
        <is>
          <t>106</t>
        </is>
      </c>
      <c r="C70" s="10" t="inlineStr">
        <is>
          <t>Otras retenciones</t>
        </is>
      </c>
      <c r="D70" s="14" t="n">
        <v>0</v>
      </c>
      <c r="E70" s="10" t="inlineStr">
        <is>
          <t>Moneda</t>
        </is>
      </c>
      <c r="F70" s="10" t="inlineStr">
        <is>
          <t>Certificados / contabilidad</t>
        </is>
      </c>
      <c r="G70" s="10" t="inlineStr">
        <is>
          <t>Incluye renta y GO.</t>
        </is>
      </c>
      <c r="H70" s="10" t="inlineStr"/>
    </row>
    <row r="71">
      <c r="A71" s="8" t="inlineStr">
        <is>
          <t>PAGOS, RETENCIONES Y OTROS</t>
        </is>
      </c>
      <c r="B71" s="8" t="inlineStr">
        <is>
          <t>108</t>
        </is>
      </c>
      <c r="C71" s="10" t="inlineStr">
        <is>
          <t>Anticipo renta año gravable siguiente</t>
        </is>
      </c>
      <c r="D71" s="14" t="n">
        <v>0</v>
      </c>
      <c r="E71" s="10" t="inlineStr">
        <is>
          <t>Moneda</t>
        </is>
      </c>
      <c r="F71" s="10" t="inlineStr">
        <is>
          <t>Cálculo tributario</t>
        </is>
      </c>
      <c r="G71" s="10" t="inlineStr">
        <is>
          <t>Manual: depende de primera declaración y art. 807 E.T.</t>
        </is>
      </c>
      <c r="H71" s="10" t="inlineStr">
        <is>
          <t>La DIAN exige cálculo técnico del anticipo. Si no lo tienes sustentado, revísalo antes de presentar.</t>
        </is>
      </c>
    </row>
    <row r="72">
      <c r="A72" s="8" t="inlineStr">
        <is>
          <t>PAGOS, RETENCIONES Y OTROS</t>
        </is>
      </c>
      <c r="B72" s="8" t="inlineStr">
        <is>
          <t>109</t>
        </is>
      </c>
      <c r="C72" s="10" t="inlineStr">
        <is>
          <t>Anticipo puntos adicionales año gravable anterior</t>
        </is>
      </c>
      <c r="D72" s="14" t="n">
        <v>0</v>
      </c>
      <c r="E72" s="10" t="inlineStr">
        <is>
          <t>Moneda</t>
        </is>
      </c>
      <c r="F72" s="10" t="inlineStr">
        <is>
          <t>Año anterior</t>
        </is>
      </c>
      <c r="G72" s="10" t="inlineStr">
        <is>
          <t>Sólo si aplican puntos adicionales.</t>
        </is>
      </c>
      <c r="H72" s="10" t="inlineStr"/>
    </row>
    <row r="73">
      <c r="A73" s="8" t="inlineStr">
        <is>
          <t>PAGOS, RETENCIONES Y OTROS</t>
        </is>
      </c>
      <c r="B73" s="8" t="inlineStr">
        <is>
          <t>110</t>
        </is>
      </c>
      <c r="C73" s="10" t="inlineStr">
        <is>
          <t>Anticipo puntos adicionales año gravable siguiente</t>
        </is>
      </c>
      <c r="D73" s="14" t="n">
        <v>0</v>
      </c>
      <c r="E73" s="10" t="inlineStr">
        <is>
          <t>Moneda</t>
        </is>
      </c>
      <c r="F73" s="10" t="inlineStr">
        <is>
          <t>Cálculo tributario</t>
        </is>
      </c>
      <c r="G73" s="10" t="inlineStr">
        <is>
          <t>Sólo si aplican puntos adicionales.</t>
        </is>
      </c>
      <c r="H73" s="10" t="inlineStr"/>
    </row>
    <row r="74">
      <c r="A74" s="8" t="inlineStr">
        <is>
          <t>PAGOS, RETENCIONES Y OTROS</t>
        </is>
      </c>
      <c r="B74" s="8" t="inlineStr">
        <is>
          <t>112</t>
        </is>
      </c>
      <c r="C74" s="10" t="inlineStr">
        <is>
          <t>Sanciones</t>
        </is>
      </c>
      <c r="D74" s="14" t="n">
        <v>0</v>
      </c>
      <c r="E74" s="10" t="inlineStr">
        <is>
          <t>Moneda</t>
        </is>
      </c>
      <c r="F74" s="10" t="inlineStr">
        <is>
          <t>Cálculo sancionatorio</t>
        </is>
      </c>
      <c r="G74" s="10" t="inlineStr">
        <is>
          <t>No puede ser inferior a la sanción mínima cuando aplique.</t>
        </is>
      </c>
      <c r="H74" s="10" t="inlineStr"/>
    </row>
    <row r="75">
      <c r="A75" s="8" t="inlineStr">
        <is>
          <t>PAGOS, RETENCIONES Y OTROS</t>
        </is>
      </c>
      <c r="B75" s="8" t="inlineStr">
        <is>
          <t>117</t>
        </is>
      </c>
      <c r="C75" s="10" t="inlineStr">
        <is>
          <t>Aporte voluntario art. 244-1 E.T.</t>
        </is>
      </c>
      <c r="D75" s="14" t="n">
        <v>0</v>
      </c>
      <c r="E75" s="10" t="inlineStr">
        <is>
          <t>Moneda</t>
        </is>
      </c>
      <c r="F75" s="10" t="inlineStr">
        <is>
          <t>Voluntario</t>
        </is>
      </c>
      <c r="G75" s="10" t="inlineStr">
        <is>
          <t>Se paga con recibo adicional; no genera beneficio tributario.</t>
        </is>
      </c>
      <c r="H75" s="10" t="inlineStr">
        <is>
          <t>Este aporte se paga por recibo separado y no modifica el saldo a favor.</t>
        </is>
      </c>
    </row>
  </sheetData>
  <mergeCells count="10">
    <mergeCell ref="A18:H18"/>
    <mergeCell ref="A1:H1"/>
    <mergeCell ref="A2:H2"/>
    <mergeCell ref="A54:H54"/>
    <mergeCell ref="A66:H66"/>
    <mergeCell ref="A5:H5"/>
    <mergeCell ref="A46:H46"/>
    <mergeCell ref="A32:H32"/>
    <mergeCell ref="A61:H61"/>
    <mergeCell ref="A22:H22"/>
  </mergeCells>
  <dataValidations count="2">
    <dataValidation sqref="D6 D7 D8 D9 D11 D12 D13 D14 D19 D20 D21 D23 D24 D25 D26 D27 D28 D29 D30 D31 D33 D34 D35 D36 D37 D38 D39 D40 D41 D42 D43 D44 D45 D47 D48 D49 D50 D51 D52 D53 D55 D56 D57 D58 D59 D60 D62 D63 D64 D65 D67 D68 D69 D70 D71 D72 D73 D74 D75" showDropDown="0" showInputMessage="0" showErrorMessage="0" allowBlank="0" type="decimal" operator="greaterThanOrEqual">
      <formula1>0</formula1>
    </dataValidation>
    <dataValidation sqref="D15 D16 D17" showDropDown="0" showInputMessage="0" showErrorMessage="0" allowBlank="0" type="whole" operator="between">
      <formula1>0</formula1>
      <formula2>1</formula2>
    </dataValidation>
  </dataValidations>
  <pageMargins left="0.75" right="0.75" top="1" bottom="1" header="0.5" footer="0.5"/>
  <legacyDrawing xmlns:r="http://schemas.openxmlformats.org/officeDocument/2006/relationships" r:id="anysvml"/>
</worksheet>
</file>

<file path=xl/worksheets/sheet7.xml><?xml version="1.0" encoding="utf-8"?>
<worksheet xmlns="http://schemas.openxmlformats.org/spreadsheetml/2006/main">
  <sheetPr>
    <tabColor rgb="00B45309"/>
    <outlinePr summaryBelow="1" summaryRight="1"/>
    <pageSetUpPr/>
  </sheetPr>
  <dimension ref="A1:H51"/>
  <sheetViews>
    <sheetView showGridLines="0" workbookViewId="0">
      <selection activeCell="A1" sqref="A1"/>
    </sheetView>
  </sheetViews>
  <sheetFormatPr baseColWidth="8" defaultRowHeight="15"/>
  <cols>
    <col width="34" customWidth="1" min="1" max="1"/>
    <col width="18" customWidth="1" min="2" max="2"/>
    <col width="18" customWidth="1" min="3" max="3"/>
    <col width="18" customWidth="1" min="4" max="4"/>
    <col width="18" customWidth="1" min="5" max="5"/>
    <col width="28" customWidth="1" min="6" max="6"/>
    <col width="42" customWidth="1" min="7" max="7"/>
  </cols>
  <sheetData>
    <row r="1" ht="24" customHeight="1">
      <c r="A1" s="1" t="inlineStr">
        <is>
          <t>BENEFICIOS_Y_LIMITES</t>
        </is>
      </c>
      <c r="B1" s="108" t="n"/>
      <c r="C1" s="108" t="n"/>
      <c r="D1" s="108" t="n"/>
      <c r="E1" s="108" t="n"/>
      <c r="F1" s="108" t="n"/>
      <c r="G1" s="108" t="n"/>
      <c r="H1" s="109" t="n"/>
    </row>
    <row r="2" ht="30" customHeight="1">
      <c r="A2" s="3" t="inlineStr">
        <is>
          <t>Modela beneficios tributarios y topes legales. Todo valor debe tener soporte antes de usarse.</t>
        </is>
      </c>
      <c r="B2" s="108" t="n"/>
      <c r="C2" s="108" t="n"/>
      <c r="D2" s="108" t="n"/>
      <c r="E2" s="108" t="n"/>
      <c r="F2" s="108" t="n"/>
      <c r="G2" s="108" t="n"/>
      <c r="H2" s="109" t="n"/>
    </row>
    <row r="3">
      <c r="A3" s="2" t="n"/>
      <c r="B3" s="2" t="n"/>
      <c r="C3" s="2" t="n"/>
      <c r="D3" s="2" t="n"/>
      <c r="E3" s="2" t="n"/>
      <c r="F3" s="2" t="n"/>
      <c r="G3" s="2" t="n"/>
      <c r="H3" s="2" t="n"/>
    </row>
    <row r="4">
      <c r="A4" s="7" t="inlineStr">
        <is>
          <t>Beneficio / control</t>
        </is>
      </c>
      <c r="B4" s="7" t="inlineStr">
        <is>
          <t>Tipo</t>
        </is>
      </c>
      <c r="C4" s="7" t="inlineStr">
        <is>
          <t>Base</t>
        </is>
      </c>
      <c r="D4" s="7" t="inlineStr">
        <is>
          <t>Valor solicitado</t>
        </is>
      </c>
      <c r="E4" s="7" t="inlineStr">
        <is>
          <t>Casilla destino</t>
        </is>
      </c>
      <c r="F4" s="7" t="inlineStr">
        <is>
          <t>Límite</t>
        </is>
      </c>
      <c r="G4" s="7" t="inlineStr">
        <is>
          <t>Soporte clave</t>
        </is>
      </c>
      <c r="H4" s="2" t="n"/>
    </row>
    <row r="5">
      <c r="A5" s="8" t="inlineStr">
        <is>
          <t>Art. 107-2 educación de empleados</t>
        </is>
      </c>
      <c r="B5" s="10" t="inlineStr">
        <is>
          <t>Deducción</t>
        </is>
      </c>
      <c r="C5" s="10" t="inlineStr"/>
      <c r="D5" s="14" t="n">
        <v>0</v>
      </c>
      <c r="E5" s="10" t="inlineStr">
        <is>
          <t>63-66</t>
        </is>
      </c>
      <c r="F5" s="10" t="inlineStr">
        <is>
          <t>Sujeta a art. 259-1</t>
        </is>
      </c>
      <c r="G5" s="10" t="inlineStr">
        <is>
          <t>Soporte del programa y pagos.</t>
        </is>
      </c>
      <c r="H5" s="2" t="n"/>
    </row>
    <row r="6">
      <c r="A6" s="8" t="inlineStr">
        <is>
          <t>Art. 108-5 primer empleo</t>
        </is>
      </c>
      <c r="B6" s="10" t="inlineStr">
        <is>
          <t>Deducción</t>
        </is>
      </c>
      <c r="C6" s="10" t="inlineStr"/>
      <c r="D6" s="14" t="n">
        <v>0</v>
      </c>
      <c r="E6" s="10" t="inlineStr">
        <is>
          <t>63-66</t>
        </is>
      </c>
      <c r="F6" s="10" t="inlineStr">
        <is>
          <t>Tope 115 UVT/mes por empleado</t>
        </is>
      </c>
      <c r="G6" s="10" t="inlineStr">
        <is>
          <t>Certificación MinTrabajo.</t>
        </is>
      </c>
      <c r="H6" s="2" t="n"/>
    </row>
    <row r="7">
      <c r="A7" s="8" t="inlineStr">
        <is>
          <t>Ley 1715 FNCE / eficiencia energética</t>
        </is>
      </c>
      <c r="B7" s="10" t="inlineStr">
        <is>
          <t>Deducción</t>
        </is>
      </c>
      <c r="C7" s="10" t="inlineStr"/>
      <c r="D7" s="14" t="n">
        <v>0</v>
      </c>
      <c r="E7" s="10" t="inlineStr">
        <is>
          <t>63-66</t>
        </is>
      </c>
      <c r="F7" s="10" t="inlineStr">
        <is>
          <t>Hasta 50% de la renta líquida por año</t>
        </is>
      </c>
      <c r="G7" s="10" t="inlineStr">
        <is>
          <t>Certificación UPME.</t>
        </is>
      </c>
      <c r="H7" s="2" t="n"/>
    </row>
    <row r="8">
      <c r="A8" s="8" t="inlineStr">
        <is>
          <t>Art. 145 cartera dudoso cobro</t>
        </is>
      </c>
      <c r="B8" s="10" t="inlineStr">
        <is>
          <t>Deducción</t>
        </is>
      </c>
      <c r="C8" s="10" t="inlineStr"/>
      <c r="D8" s="14" t="n">
        <v>0</v>
      </c>
      <c r="E8" s="10" t="inlineStr">
        <is>
          <t>63-66</t>
        </is>
      </c>
      <c r="F8" s="10" t="inlineStr">
        <is>
          <t>Cumplir requisitos de incobrabilidad</t>
        </is>
      </c>
      <c r="G8" s="10" t="inlineStr">
        <is>
          <t>Soporte de cartera.</t>
        </is>
      </c>
      <c r="H8" s="2" t="n"/>
    </row>
    <row r="9">
      <c r="A9" s="8" t="inlineStr">
        <is>
          <t>Art. 147 pérdidas fiscales</t>
        </is>
      </c>
      <c r="B9" s="10" t="inlineStr">
        <is>
          <t>Compensación</t>
        </is>
      </c>
      <c r="C9" s="10" t="inlineStr"/>
      <c r="D9" s="14" t="n">
        <v>0</v>
      </c>
      <c r="E9" s="10" t="inlineStr">
        <is>
          <t>74</t>
        </is>
      </c>
      <c r="F9" s="10" t="inlineStr">
        <is>
          <t>Hasta el valor de casilla 72</t>
        </is>
      </c>
      <c r="G9" s="10" t="inlineStr">
        <is>
          <t>Papeles de trabajo históricos.</t>
        </is>
      </c>
      <c r="H9" s="2" t="n"/>
    </row>
    <row r="10">
      <c r="A10" s="8" t="inlineStr">
        <is>
          <t>Exceso renta presuntiva compensable</t>
        </is>
      </c>
      <c r="B10" s="10" t="inlineStr">
        <is>
          <t>Compensación</t>
        </is>
      </c>
      <c r="C10" s="10" t="inlineStr"/>
      <c r="D10" s="14" t="n">
        <v>0</v>
      </c>
      <c r="E10" s="10" t="inlineStr">
        <is>
          <t>74</t>
        </is>
      </c>
      <c r="F10" s="10" t="inlineStr">
        <is>
          <t>Hasta el valor de casilla 72</t>
        </is>
      </c>
      <c r="G10" s="10" t="inlineStr">
        <is>
          <t>Control histórico.</t>
        </is>
      </c>
      <c r="H10" s="2" t="n"/>
    </row>
    <row r="11">
      <c r="A11" s="8" t="inlineStr">
        <is>
          <t>Renta exenta sujeta a art. 259-1</t>
        </is>
      </c>
      <c r="B11" s="10" t="inlineStr">
        <is>
          <t>Renta exenta</t>
        </is>
      </c>
      <c r="C11" s="10" t="inlineStr"/>
      <c r="D11" s="14" t="n">
        <v>0</v>
      </c>
      <c r="E11" s="10" t="inlineStr">
        <is>
          <t>77</t>
        </is>
      </c>
      <c r="F11" s="10" t="inlineStr">
        <is>
          <t>Sólo si está sujeta al 3%</t>
        </is>
      </c>
      <c r="G11" s="10" t="inlineStr">
        <is>
          <t>Soporte legal específico.</t>
        </is>
      </c>
      <c r="H11" s="2" t="n"/>
    </row>
    <row r="12">
      <c r="A12" s="8" t="inlineStr">
        <is>
          <t>INCRNGO sujeto a art. 259-1</t>
        </is>
      </c>
      <c r="B12" s="10" t="inlineStr">
        <is>
          <t>INCRNGO</t>
        </is>
      </c>
      <c r="C12" s="10" t="inlineStr"/>
      <c r="D12" s="14" t="n">
        <v>0</v>
      </c>
      <c r="E12" s="10" t="inlineStr">
        <is>
          <t>60 / 92</t>
        </is>
      </c>
      <c r="F12" s="10" t="inlineStr">
        <is>
          <t>Sólo si está sujeto al 3%</t>
        </is>
      </c>
      <c r="G12" s="10" t="inlineStr">
        <is>
          <t>Soporte legal específico.</t>
        </is>
      </c>
      <c r="H12" s="2" t="n"/>
    </row>
    <row r="13">
      <c r="A13" s="8" t="inlineStr">
        <is>
          <t>Otras deducciones especiales sujetas art. 259-1</t>
        </is>
      </c>
      <c r="B13" s="10" t="inlineStr">
        <is>
          <t>Deducción</t>
        </is>
      </c>
      <c r="C13" s="10" t="inlineStr"/>
      <c r="D13" s="14" t="n">
        <v>0</v>
      </c>
      <c r="E13" s="10" t="inlineStr">
        <is>
          <t>63-66 / 92</t>
        </is>
      </c>
      <c r="F13" s="10" t="inlineStr">
        <is>
          <t>Sólo si la ley las incluye</t>
        </is>
      </c>
      <c r="G13" s="10" t="inlineStr">
        <is>
          <t>Norma específica y soporte.</t>
        </is>
      </c>
      <c r="H13" s="2" t="n"/>
    </row>
    <row r="14">
      <c r="A14" s="8" t="inlineStr">
        <is>
          <t>RLO* override para art. 259-1</t>
        </is>
      </c>
      <c r="B14" s="10" t="inlineStr">
        <is>
          <t>Driver</t>
        </is>
      </c>
      <c r="C14" s="10" t="inlineStr"/>
      <c r="D14" s="14" t="n">
        <v>0</v>
      </c>
      <c r="E14" s="10" t="inlineStr">
        <is>
          <t>92</t>
        </is>
      </c>
      <c r="F14" s="10" t="inlineStr">
        <is>
          <t>Opcional</t>
        </is>
      </c>
      <c r="G14" s="10" t="inlineStr">
        <is>
          <t>Úsalo si 72 + DE no refleja bien la base.</t>
        </is>
      </c>
      <c r="H14" s="2" t="n"/>
    </row>
    <row r="15">
      <c r="A15" s="8" t="inlineStr">
        <is>
          <t>Tarifa TRPJ override para art. 259-1</t>
        </is>
      </c>
      <c r="B15" s="10" t="inlineStr">
        <is>
          <t>Driver</t>
        </is>
      </c>
      <c r="C15" s="10" t="inlineStr"/>
      <c r="D15" s="11" t="n">
        <v>0</v>
      </c>
      <c r="E15" s="10" t="inlineStr">
        <is>
          <t>92</t>
        </is>
      </c>
      <c r="F15" s="10" t="inlineStr">
        <is>
          <t>Opcional</t>
        </is>
      </c>
      <c r="G15" s="10" t="inlineStr">
        <is>
          <t>Úsalo si la tarifa de 84 no refleja la del beneficio.</t>
        </is>
      </c>
      <c r="H15" s="2" t="n"/>
    </row>
    <row r="16">
      <c r="A16" s="2" t="n"/>
      <c r="B16" s="2" t="n"/>
      <c r="C16" s="2" t="n"/>
      <c r="D16" s="2" t="n"/>
      <c r="E16" s="2" t="n"/>
      <c r="F16" s="2" t="n"/>
      <c r="G16" s="2" t="n"/>
      <c r="H16" s="2" t="n"/>
    </row>
    <row r="17">
      <c r="A17" s="2" t="n"/>
      <c r="B17" s="2" t="n"/>
      <c r="C17" s="2" t="n"/>
      <c r="D17" s="2" t="n"/>
      <c r="E17" s="2" t="n"/>
      <c r="F17" s="2" t="n"/>
      <c r="G17" s="2" t="n"/>
      <c r="H17" s="2" t="n"/>
    </row>
    <row r="18">
      <c r="A18" s="8" t="inlineStr">
        <is>
          <t>Art. 254 impuestos pagados en el exterior (renta)</t>
        </is>
      </c>
      <c r="B18" s="10" t="inlineStr">
        <is>
          <t>Descuento</t>
        </is>
      </c>
      <c r="C18" s="10" t="inlineStr"/>
      <c r="D18" s="14" t="n">
        <v>0</v>
      </c>
      <c r="E18" s="10" t="inlineStr">
        <is>
          <t>93</t>
        </is>
      </c>
      <c r="F18" s="10" t="inlineStr">
        <is>
          <t>No excede impuesto colombiano de esas rentas</t>
        </is>
      </c>
      <c r="G18" s="10" t="inlineStr">
        <is>
          <t>Soporte de pago exterior.</t>
        </is>
      </c>
      <c r="H18" s="2" t="n"/>
    </row>
    <row r="19">
      <c r="A19" s="8" t="inlineStr">
        <is>
          <t>Art. 255 medio ambiente</t>
        </is>
      </c>
      <c r="B19" s="10" t="inlineStr">
        <is>
          <t>Descuento</t>
        </is>
      </c>
      <c r="C19" s="10" t="inlineStr"/>
      <c r="D19" s="14" t="n">
        <v>0</v>
      </c>
      <c r="E19" s="10" t="inlineStr">
        <is>
          <t>93</t>
        </is>
      </c>
      <c r="F19" s="10" t="inlineStr">
        <is>
          <t>Art. 258 + art. 259-1</t>
        </is>
      </c>
      <c r="G19" s="10" t="inlineStr">
        <is>
          <t>Certificación autoridad ambiental.</t>
        </is>
      </c>
      <c r="H19" s="2" t="n"/>
    </row>
    <row r="20">
      <c r="A20" s="8" t="inlineStr">
        <is>
          <t>Art. 256 I+D+i</t>
        </is>
      </c>
      <c r="B20" s="10" t="inlineStr">
        <is>
          <t>Descuento</t>
        </is>
      </c>
      <c r="C20" s="10" t="inlineStr"/>
      <c r="D20" s="14" t="n">
        <v>0</v>
      </c>
      <c r="E20" s="10" t="inlineStr">
        <is>
          <t>93</t>
        </is>
      </c>
      <c r="F20" s="10" t="inlineStr">
        <is>
          <t>Art. 258</t>
        </is>
      </c>
      <c r="G20" s="10" t="inlineStr">
        <is>
          <t>Certificación CNBT.</t>
        </is>
      </c>
      <c r="H20" s="2" t="n"/>
    </row>
    <row r="21">
      <c r="A21" s="8" t="inlineStr">
        <is>
          <t>Art. 257 donaciones</t>
        </is>
      </c>
      <c r="B21" s="10" t="inlineStr">
        <is>
          <t>Descuento</t>
        </is>
      </c>
      <c r="C21" s="10" t="inlineStr"/>
      <c r="D21" s="14" t="n">
        <v>0</v>
      </c>
      <c r="E21" s="10" t="inlineStr">
        <is>
          <t>93</t>
        </is>
      </c>
      <c r="F21" s="10" t="inlineStr">
        <is>
          <t>Art. 258</t>
        </is>
      </c>
      <c r="G21" s="10" t="inlineStr">
        <is>
          <t>Certificado del donatario.</t>
        </is>
      </c>
      <c r="H21" s="2" t="n"/>
    </row>
    <row r="22">
      <c r="A22" s="8" t="inlineStr">
        <is>
          <t>Art. 257-1 becas por impuestos</t>
        </is>
      </c>
      <c r="B22" s="10" t="inlineStr">
        <is>
          <t>Descuento</t>
        </is>
      </c>
      <c r="C22" s="10" t="inlineStr"/>
      <c r="D22" s="14" t="n">
        <v>0</v>
      </c>
      <c r="E22" s="10" t="inlineStr">
        <is>
          <t>93</t>
        </is>
      </c>
      <c r="F22" s="10" t="inlineStr">
        <is>
          <t>Tope conjunto 30%</t>
        </is>
      </c>
      <c r="G22" s="10" t="inlineStr">
        <is>
          <t>Títulos y convenio.</t>
        </is>
      </c>
      <c r="H22" s="2" t="n"/>
    </row>
    <row r="23">
      <c r="A23" s="8" t="inlineStr">
        <is>
          <t>Art. 104 Ley 788/2002</t>
        </is>
      </c>
      <c r="B23" s="10" t="inlineStr">
        <is>
          <t>Descuento</t>
        </is>
      </c>
      <c r="C23" s="10" t="inlineStr"/>
      <c r="D23" s="14" t="n">
        <v>0</v>
      </c>
      <c r="E23" s="10" t="inlineStr">
        <is>
          <t>93</t>
        </is>
      </c>
      <c r="F23" s="10" t="inlineStr">
        <is>
          <t>Sectorial</t>
        </is>
      </c>
      <c r="G23" s="10" t="inlineStr">
        <is>
          <t>Sólo si aplica al contribuyente.</t>
        </is>
      </c>
      <c r="H23" s="2" t="n"/>
    </row>
    <row r="24">
      <c r="A24" s="8" t="inlineStr">
        <is>
          <t>Otros descuentos sujetos a art. 259-1</t>
        </is>
      </c>
      <c r="B24" s="10" t="inlineStr">
        <is>
          <t>Descuento</t>
        </is>
      </c>
      <c r="C24" s="10" t="inlineStr"/>
      <c r="D24" s="14" t="n">
        <v>0</v>
      </c>
      <c r="E24" s="10" t="inlineStr">
        <is>
          <t>93</t>
        </is>
      </c>
      <c r="F24" s="10" t="inlineStr">
        <is>
          <t>Sólo si la norma los incluye</t>
        </is>
      </c>
      <c r="G24" s="10" t="inlineStr">
        <is>
          <t>Norma específica.</t>
        </is>
      </c>
      <c r="H24" s="2" t="n"/>
    </row>
    <row r="25">
      <c r="A25" s="8" t="inlineStr">
        <is>
          <t>Otros descuentos no sujetos a art. 259-1</t>
        </is>
      </c>
      <c r="B25" s="10" t="inlineStr">
        <is>
          <t>Descuento</t>
        </is>
      </c>
      <c r="C25" s="10" t="inlineStr"/>
      <c r="D25" s="14" t="n">
        <v>0</v>
      </c>
      <c r="E25" s="10" t="inlineStr">
        <is>
          <t>93</t>
        </is>
      </c>
      <c r="F25" s="10" t="inlineStr">
        <is>
          <t>Revisar art. 259</t>
        </is>
      </c>
      <c r="G25" s="10" t="inlineStr">
        <is>
          <t>Norma específica.</t>
        </is>
      </c>
      <c r="H25" s="2" t="n"/>
    </row>
    <row r="26">
      <c r="A26" s="8" t="inlineStr">
        <is>
          <t>Art. 256-1 crédito fiscal</t>
        </is>
      </c>
      <c r="B26" s="10" t="inlineStr">
        <is>
          <t>Crédito fiscal</t>
        </is>
      </c>
      <c r="C26" s="10" t="inlineStr"/>
      <c r="D26" s="14" t="n">
        <v>0</v>
      </c>
      <c r="E26" s="10" t="inlineStr">
        <is>
          <t>102</t>
        </is>
      </c>
      <c r="F26" s="10" t="inlineStr">
        <is>
          <t>Según certificación</t>
        </is>
      </c>
      <c r="G26" s="10" t="inlineStr">
        <is>
          <t>Certificación CNBT.</t>
        </is>
      </c>
      <c r="H26" s="2" t="n"/>
    </row>
    <row r="27">
      <c r="A27" s="8" t="inlineStr">
        <is>
          <t>Art. 254 impuestos pagados en el exterior (GO)</t>
        </is>
      </c>
      <c r="B27" s="10" t="inlineStr">
        <is>
          <t>Descuento</t>
        </is>
      </c>
      <c r="C27" s="10" t="inlineStr"/>
      <c r="D27" s="14" t="n">
        <v>0</v>
      </c>
      <c r="E27" s="10" t="inlineStr">
        <is>
          <t>98</t>
        </is>
      </c>
      <c r="F27" s="10" t="inlineStr">
        <is>
          <t>No excede impuesto colombiano GO</t>
        </is>
      </c>
      <c r="G27" s="10" t="inlineStr">
        <is>
          <t>Soporte de pago exterior.</t>
        </is>
      </c>
      <c r="H27" s="2" t="n"/>
    </row>
    <row r="28">
      <c r="A28" s="8" t="inlineStr">
        <is>
          <t>Obras por impuestos modalidad 1</t>
        </is>
      </c>
      <c r="B28" s="10" t="inlineStr">
        <is>
          <t>Pago alternativo</t>
        </is>
      </c>
      <c r="C28" s="10" t="inlineStr"/>
      <c r="D28" s="14" t="n">
        <v>0</v>
      </c>
      <c r="E28" s="10" t="inlineStr">
        <is>
          <t>100 / 115</t>
        </is>
      </c>
      <c r="F28" s="10" t="inlineStr">
        <is>
          <t>Máximo 50% de casilla 99</t>
        </is>
      </c>
      <c r="G28" s="10" t="inlineStr">
        <is>
          <t>Aprobación ART / DNP.</t>
        </is>
      </c>
      <c r="H28" s="2" t="n"/>
    </row>
    <row r="29">
      <c r="A29" s="8" t="inlineStr">
        <is>
          <t>Obras por impuestos modalidad 2</t>
        </is>
      </c>
      <c r="B29" s="10" t="inlineStr">
        <is>
          <t>Descuento / pago</t>
        </is>
      </c>
      <c r="C29" s="10" t="inlineStr"/>
      <c r="D29" s="14" t="n">
        <v>0</v>
      </c>
      <c r="E29" s="10" t="inlineStr">
        <is>
          <t>101</t>
        </is>
      </c>
      <c r="F29" s="10" t="inlineStr">
        <is>
          <t>Según aprobación</t>
        </is>
      </c>
      <c r="G29" s="10" t="inlineStr">
        <is>
          <t>Aprobación ART / DNP.</t>
        </is>
      </c>
      <c r="H29" s="2" t="n"/>
    </row>
    <row r="30">
      <c r="A30" s="8" t="inlineStr">
        <is>
          <t>Valor total proyecto modalidad 2</t>
        </is>
      </c>
      <c r="B30" s="10" t="inlineStr">
        <is>
          <t>Informativo</t>
        </is>
      </c>
      <c r="C30" s="10" t="inlineStr"/>
      <c r="D30" s="14" t="n">
        <v>0</v>
      </c>
      <c r="E30" s="10" t="inlineStr">
        <is>
          <t>116</t>
        </is>
      </c>
      <c r="F30" s="10" t="inlineStr">
        <is>
          <t>Informativo</t>
        </is>
      </c>
      <c r="G30" s="10" t="inlineStr">
        <is>
          <t>Valor total aprobado.</t>
        </is>
      </c>
      <c r="H30" s="2" t="n"/>
    </row>
    <row r="31">
      <c r="A31" s="2" t="n"/>
      <c r="B31" s="2" t="n"/>
      <c r="C31" s="2" t="n"/>
      <c r="D31" s="2" t="n"/>
      <c r="E31" s="2" t="n"/>
      <c r="F31" s="2" t="n"/>
      <c r="G31" s="2" t="n"/>
      <c r="H31" s="2" t="n"/>
    </row>
    <row r="32">
      <c r="A32" s="2" t="n"/>
      <c r="B32" s="2" t="n"/>
      <c r="C32" s="2" t="n"/>
      <c r="D32" s="2" t="n"/>
      <c r="E32" s="2" t="n"/>
      <c r="F32" s="2" t="n"/>
      <c r="G32" s="2" t="n"/>
      <c r="H32" s="2" t="n"/>
    </row>
    <row r="33">
      <c r="A33" s="19" t="inlineStr">
        <is>
          <t>Resumen técnico</t>
        </is>
      </c>
      <c r="B33" s="2" t="n"/>
      <c r="C33" s="2" t="n"/>
      <c r="D33" s="2" t="n"/>
      <c r="E33" s="2" t="n"/>
      <c r="F33" s="2" t="n"/>
      <c r="G33" s="2" t="n"/>
      <c r="H33" s="2" t="n"/>
    </row>
    <row r="34">
      <c r="A34" s="8" t="inlineStr">
        <is>
          <t>Descuentos art. 255 + 256 + 257</t>
        </is>
      </c>
      <c r="B34" s="10" t="n"/>
      <c r="C34" s="10" t="n"/>
      <c r="D34" s="16">
        <f>SUM(D19:D21)</f>
        <v/>
      </c>
      <c r="E34" s="2" t="n"/>
      <c r="F34" s="2" t="n"/>
      <c r="G34" s="2" t="n"/>
      <c r="H34" s="2" t="n"/>
    </row>
    <row r="35">
      <c r="A35" s="8" t="inlineStr">
        <is>
          <t>Tope art. 258 (25% de casilla 91)</t>
        </is>
      </c>
      <c r="B35" s="10" t="n"/>
      <c r="C35" s="10" t="n"/>
      <c r="D35" s="16">
        <f>ROUND(IFERROR(INDEX(LIQUIDACION_110!$D:$D,MATCH(91,LIQUIDACION_110!$A:$A,0)),0)*PARAMS!$B$15,0)</f>
        <v/>
      </c>
      <c r="E35" s="2" t="n"/>
      <c r="F35" s="2" t="n"/>
      <c r="G35" s="2" t="n"/>
      <c r="H35" s="2" t="n"/>
    </row>
    <row r="36">
      <c r="A36" s="8" t="inlineStr">
        <is>
          <t>Descuentos permitidos art. 258</t>
        </is>
      </c>
      <c r="B36" s="10" t="n"/>
      <c r="C36" s="10" t="n"/>
      <c r="D36" s="16">
        <f>MIN(D34,D35)</f>
        <v/>
      </c>
      <c r="E36" s="2" t="n"/>
      <c r="F36" s="2" t="n"/>
      <c r="G36" s="2" t="n"/>
      <c r="H36" s="2" t="n"/>
    </row>
    <row r="37">
      <c r="A37" s="8" t="inlineStr">
        <is>
          <t>Tope conjunto art. 257-1 (30% de casilla 91)</t>
        </is>
      </c>
      <c r="B37" s="10" t="n"/>
      <c r="C37" s="10" t="n"/>
      <c r="D37" s="16">
        <f>ROUND(IFERROR(INDEX(LIQUIDACION_110!$D:$D,MATCH(91,LIQUIDACION_110!$A:$A,0)),0)*PARAMS!$B$16,0)</f>
        <v/>
      </c>
      <c r="E37" s="2" t="n"/>
      <c r="F37" s="2" t="n"/>
      <c r="G37" s="2" t="n"/>
      <c r="H37" s="2" t="n"/>
    </row>
    <row r="38">
      <c r="A38" s="8" t="inlineStr">
        <is>
          <t>Art. 257-1 permitido</t>
        </is>
      </c>
      <c r="B38" s="10" t="n"/>
      <c r="C38" s="10" t="n"/>
      <c r="D38" s="16">
        <f>MIN(D22,MAX(0,D37-D36))</f>
        <v/>
      </c>
      <c r="E38" s="2" t="n"/>
      <c r="F38" s="2" t="n"/>
      <c r="G38" s="2" t="n"/>
      <c r="H38" s="2" t="n"/>
    </row>
    <row r="39">
      <c r="A39" s="8" t="inlineStr">
        <is>
          <t>DT sujetos a art. 259-1</t>
        </is>
      </c>
      <c r="B39" s="10" t="n"/>
      <c r="C39" s="10" t="n"/>
      <c r="D39" s="16">
        <f>D19+D24+D38</f>
        <v/>
      </c>
      <c r="E39" s="2" t="n"/>
      <c r="F39" s="2" t="n"/>
      <c r="G39" s="2" t="n"/>
      <c r="H39" s="2" t="n"/>
    </row>
    <row r="40">
      <c r="A40" s="8" t="inlineStr">
        <is>
          <t>Total descuentos renta antes de tope general</t>
        </is>
      </c>
      <c r="B40" s="10" t="n"/>
      <c r="C40" s="10" t="n"/>
      <c r="D40" s="16">
        <f>D18+D23+D24+D25+D36+D38</f>
        <v/>
      </c>
      <c r="E40" s="2" t="n"/>
      <c r="F40" s="2" t="n"/>
      <c r="G40" s="2" t="n"/>
      <c r="H40" s="2" t="n"/>
    </row>
    <row r="41">
      <c r="A41" s="8" t="inlineStr">
        <is>
          <t>Descuentos renta permitidos casilla 93</t>
        </is>
      </c>
      <c r="B41" s="10" t="n"/>
      <c r="C41" s="10" t="n"/>
      <c r="D41" s="16">
        <f>MIN(D40,IFERROR(INDEX(LIQUIDACION_110!$D:$D,MATCH(91,LIQUIDACION_110!$A:$A,0)),0))</f>
        <v/>
      </c>
      <c r="E41" s="2" t="n"/>
      <c r="F41" s="2" t="n"/>
      <c r="G41" s="2" t="n"/>
      <c r="H41" s="2" t="n"/>
    </row>
    <row r="42">
      <c r="A42" s="8" t="inlineStr">
        <is>
          <t>DE sujetos art. 259-1</t>
        </is>
      </c>
      <c r="B42" s="10" t="n"/>
      <c r="C42" s="10" t="n"/>
      <c r="D42" s="16">
        <f>D5+D13</f>
        <v/>
      </c>
      <c r="E42" s="2" t="n"/>
      <c r="F42" s="2" t="n"/>
      <c r="G42" s="2" t="n"/>
      <c r="H42" s="2" t="n"/>
    </row>
    <row r="43">
      <c r="A43" s="8" t="inlineStr">
        <is>
          <t>RE sujetos art. 259-1</t>
        </is>
      </c>
      <c r="B43" s="10" t="n"/>
      <c r="C43" s="10" t="n"/>
      <c r="D43" s="16">
        <f>D11</f>
        <v/>
      </c>
      <c r="E43" s="2" t="n"/>
      <c r="F43" s="2" t="n"/>
      <c r="G43" s="2" t="n"/>
      <c r="H43" s="2" t="n"/>
    </row>
    <row r="44">
      <c r="A44" s="8" t="inlineStr">
        <is>
          <t>INCRNGO sujetos art. 259-1</t>
        </is>
      </c>
      <c r="B44" s="10" t="n"/>
      <c r="C44" s="10" t="n"/>
      <c r="D44" s="16">
        <f>D12</f>
        <v/>
      </c>
      <c r="E44" s="2" t="n"/>
      <c r="F44" s="2" t="n"/>
      <c r="G44" s="2" t="n"/>
      <c r="H44" s="2" t="n"/>
    </row>
    <row r="45">
      <c r="A45" s="8" t="inlineStr">
        <is>
          <t>RLO* usado en art. 259-1</t>
        </is>
      </c>
      <c r="B45" s="10" t="n"/>
      <c r="C45" s="10" t="n"/>
      <c r="D45" s="16">
        <f>IF(D14&gt;0,D14,IFERROR(INDEX(LIQUIDACION_110!$D:$D,MATCH(72,LIQUIDACION_110!$A:$A,0)),0)+D42)</f>
        <v/>
      </c>
      <c r="E45" s="2" t="n"/>
      <c r="F45" s="2" t="n"/>
      <c r="G45" s="2" t="n"/>
      <c r="H45" s="2" t="n"/>
    </row>
    <row r="46">
      <c r="A46" s="8" t="inlineStr">
        <is>
          <t>TRPJ usada en art. 259-1</t>
        </is>
      </c>
      <c r="B46" s="10" t="n"/>
      <c r="C46" s="10" t="n"/>
      <c r="D46" s="15">
        <f>IF(D15&gt;0,D15,PERFIL_TRIBUTARIO!$B$8)</f>
        <v/>
      </c>
      <c r="E46" s="2" t="n"/>
      <c r="F46" s="2" t="n"/>
      <c r="G46" s="2" t="n"/>
      <c r="H46" s="2" t="n"/>
    </row>
    <row r="47">
      <c r="A47" s="8" t="inlineStr">
        <is>
          <t>VAA casilla 92</t>
        </is>
      </c>
      <c r="B47" s="10" t="n"/>
      <c r="C47" s="10" t="n"/>
      <c r="D47" s="16">
        <f>MAX(0,ROUND((D42+D43+D44)*D46 + D39 - PARAMS!$B$17*D45,0))</f>
        <v/>
      </c>
      <c r="E47" s="2" t="n"/>
      <c r="F47" s="2" t="n"/>
      <c r="G47" s="2" t="n"/>
      <c r="H47" s="2" t="n"/>
    </row>
    <row r="48">
      <c r="A48" s="8" t="inlineStr">
        <is>
          <t>Crédito art. 256-1 casilla 102</t>
        </is>
      </c>
      <c r="B48" s="10" t="n"/>
      <c r="C48" s="10" t="n"/>
      <c r="D48" s="16">
        <f>MAX(0,D26)</f>
        <v/>
      </c>
      <c r="E48" s="2" t="n"/>
      <c r="F48" s="2" t="n"/>
      <c r="G48" s="2" t="n"/>
      <c r="H48" s="2" t="n"/>
    </row>
    <row r="49">
      <c r="A49" s="8" t="inlineStr">
        <is>
          <t>Obras mod. 1 casilla 100</t>
        </is>
      </c>
      <c r="B49" s="10" t="n"/>
      <c r="C49" s="10" t="n"/>
      <c r="D49" s="16">
        <f>MIN(D28,ROUND(IFERROR(INDEX(LIQUIDACION_110!$D:$D,MATCH(99,LIQUIDACION_110!$A:$A,0)),0)*PARAMS!$B$14,0))</f>
        <v/>
      </c>
      <c r="E49" s="2" t="n"/>
      <c r="F49" s="2" t="n"/>
      <c r="G49" s="2" t="n"/>
      <c r="H49" s="2" t="n"/>
    </row>
    <row r="50">
      <c r="A50" s="8" t="inlineStr">
        <is>
          <t>Obras mod. 2 casilla 101</t>
        </is>
      </c>
      <c r="B50" s="2" t="n"/>
      <c r="C50" s="2" t="n"/>
      <c r="D50" s="16">
        <f>MAX(0,D29)</f>
        <v/>
      </c>
      <c r="E50" s="2" t="n"/>
      <c r="F50" s="2" t="n"/>
      <c r="G50" s="2" t="n"/>
      <c r="H50" s="2" t="n"/>
    </row>
    <row r="51">
      <c r="A51" s="8" t="inlineStr">
        <is>
          <t>Proyecto mod. 2 informativo casilla 116</t>
        </is>
      </c>
      <c r="B51" s="2" t="n"/>
      <c r="C51" s="2" t="n"/>
      <c r="D51" s="16">
        <f>MAX(0,D30)</f>
        <v/>
      </c>
      <c r="E51" s="2" t="n"/>
      <c r="F51" s="2" t="n"/>
      <c r="G51" s="2" t="n"/>
      <c r="H51" s="2" t="n"/>
    </row>
  </sheetData>
  <mergeCells count="2">
    <mergeCell ref="A2:H2"/>
    <mergeCell ref="A1:H1"/>
  </mergeCells>
  <dataValidations count="2">
    <dataValidation sqref="D5 D6 D7 D8 D9 D10 D11 D12 D13 D14 D15 D18 D19 D20 D21 D22 D23 D24 D25 D26 D27 D28 D29 D30" showDropDown="0" showInputMessage="0" showErrorMessage="0" allowBlank="0" type="decimal" operator="greaterThanOrEqual">
      <formula1>0</formula1>
    </dataValidation>
    <dataValidation sqref="D15" showDropDown="0" showInputMessage="0" showErrorMessage="0" allowBlank="0" type="decimal" operator="between">
      <formula1>0</formula1>
      <formula2>1</formula2>
    </dataValidation>
  </dataValidations>
  <pageMargins left="0.75" right="0.75" top="1" bottom="1" header="0.5" footer="0.5"/>
</worksheet>
</file>

<file path=xl/worksheets/sheet8.xml><?xml version="1.0" encoding="utf-8"?>
<worksheet xmlns="http://schemas.openxmlformats.org/spreadsheetml/2006/main">
  <sheetPr>
    <tabColor rgb="00D9EDEB"/>
    <outlinePr summaryBelow="1" summaryRight="1"/>
    <pageSetUpPr/>
  </sheetPr>
  <dimension ref="A1:H24"/>
  <sheetViews>
    <sheetView showGridLines="0" workbookViewId="0">
      <selection activeCell="A1" sqref="A1"/>
    </sheetView>
  </sheetViews>
  <sheetFormatPr baseColWidth="8" defaultRowHeight="15"/>
  <cols>
    <col width="36" customWidth="1" min="1" max="1"/>
    <col width="18" customWidth="1" min="2" max="2"/>
    <col width="48" customWidth="1" min="3" max="3"/>
  </cols>
  <sheetData>
    <row r="1" ht="24" customHeight="1">
      <c r="A1" s="1" t="inlineStr">
        <is>
          <t>TASA_MINIMA_TTD</t>
        </is>
      </c>
      <c r="B1" s="108" t="n"/>
      <c r="C1" s="108" t="n"/>
      <c r="D1" s="108" t="n"/>
      <c r="E1" s="108" t="n"/>
      <c r="F1" s="108" t="n"/>
      <c r="G1" s="108" t="n"/>
      <c r="H1" s="109" t="n"/>
    </row>
    <row r="2" ht="30" customHeight="1">
      <c r="A2" s="3" t="inlineStr">
        <is>
          <t>Modelo base para casilla 95. Si hay consolidación o una exclusión especial, usa override manual.</t>
        </is>
      </c>
      <c r="B2" s="108" t="n"/>
      <c r="C2" s="108" t="n"/>
      <c r="D2" s="108" t="n"/>
      <c r="E2" s="108" t="n"/>
      <c r="F2" s="108" t="n"/>
      <c r="G2" s="108" t="n"/>
      <c r="H2" s="109" t="n"/>
    </row>
    <row r="3">
      <c r="A3" s="2" t="n"/>
      <c r="B3" s="2" t="n"/>
      <c r="C3" s="2" t="n"/>
      <c r="D3" s="2" t="n"/>
      <c r="E3" s="2" t="n"/>
      <c r="F3" s="2" t="n"/>
      <c r="G3" s="2" t="n"/>
      <c r="H3" s="2" t="n"/>
    </row>
    <row r="4">
      <c r="A4" s="7" t="inlineStr">
        <is>
          <t>Driver TTD</t>
        </is>
      </c>
      <c r="B4" s="7" t="inlineStr">
        <is>
          <t>Valor</t>
        </is>
      </c>
      <c r="C4" s="7" t="inlineStr">
        <is>
          <t>Lectura / soporte</t>
        </is>
      </c>
      <c r="D4" s="2" t="n"/>
      <c r="E4" s="2" t="n"/>
      <c r="F4" s="2" t="n"/>
      <c r="G4" s="2" t="n"/>
      <c r="H4" s="2" t="n"/>
    </row>
    <row r="5">
      <c r="A5" s="8" t="inlineStr">
        <is>
          <t>¿Aplica TTD en este perfil?</t>
        </is>
      </c>
      <c r="B5" s="10">
        <f>IF(OR(PERFIL_TRIBUTARIO!$B$5="ZOMAC_MICRO_PEQUENA",PERFIL_TRIBUTARIO!$B$5="ZOMAC_MEDIANA_GRANDE",PERFIL_TRIBUTARIO!$B$5="ZESE_0"),"No","Si")</f>
        <v/>
      </c>
      <c r="C5" s="10" t="inlineStr">
        <is>
          <t>La exclusión automática aquí sólo cubre ZOMAC y ZESE 0%; revisa otras exclusiones legales si aplican.</t>
        </is>
      </c>
      <c r="D5" s="2" t="n"/>
      <c r="E5" s="2" t="n"/>
      <c r="F5" s="2" t="n"/>
      <c r="G5" s="2" t="n"/>
      <c r="H5" s="2" t="n"/>
    </row>
    <row r="6">
      <c r="A6" s="8" t="inlineStr">
        <is>
          <t>¿Estados financieros consolidados?</t>
        </is>
      </c>
      <c r="B6" s="10">
        <f>PERFIL_TRIBUTARIO!$B$11</f>
        <v/>
      </c>
      <c r="C6" s="10" t="inlineStr">
        <is>
          <t>Si es 'Si', el modelo deja IA en 0 salvo override manual.</t>
        </is>
      </c>
      <c r="D6" s="2" t="n"/>
      <c r="E6" s="2" t="n"/>
      <c r="F6" s="2" t="n"/>
      <c r="G6" s="2" t="n"/>
      <c r="H6" s="2" t="n"/>
    </row>
    <row r="7">
      <c r="A7" s="8" t="inlineStr">
        <is>
          <t>IA override manual casilla 95</t>
        </is>
      </c>
      <c r="B7" s="14" t="n">
        <v>0</v>
      </c>
      <c r="C7" s="10" t="n"/>
      <c r="D7" s="2" t="n"/>
      <c r="E7" s="2" t="n"/>
      <c r="F7" s="2" t="n"/>
      <c r="G7" s="2" t="n"/>
      <c r="H7" s="2" t="n"/>
    </row>
    <row r="8">
      <c r="A8" s="2" t="n"/>
      <c r="B8" s="2" t="n"/>
      <c r="C8" s="2" t="n"/>
      <c r="D8" s="2" t="n"/>
      <c r="E8" s="2" t="n"/>
      <c r="F8" s="2" t="n"/>
      <c r="G8" s="2" t="n"/>
      <c r="H8" s="2" t="n"/>
    </row>
    <row r="9">
      <c r="A9" s="8" t="inlineStr">
        <is>
          <t>UC - utilidad contable antes de impuestos</t>
        </is>
      </c>
      <c r="B9" s="14" t="n">
        <v>0</v>
      </c>
      <c r="C9" s="10" t="n"/>
      <c r="D9" s="2" t="n"/>
      <c r="E9" s="2" t="n"/>
      <c r="F9" s="2" t="n"/>
      <c r="G9" s="2" t="n"/>
      <c r="H9" s="2" t="n"/>
    </row>
    <row r="10">
      <c r="A10" s="8" t="inlineStr">
        <is>
          <t>DPARL - diferencias permanentes que aumentan renta</t>
        </is>
      </c>
      <c r="B10" s="14" t="n">
        <v>0</v>
      </c>
      <c r="C10" s="10" t="n"/>
      <c r="D10" s="2" t="n"/>
      <c r="E10" s="2" t="n"/>
      <c r="F10" s="2" t="n"/>
      <c r="G10" s="2" t="n"/>
      <c r="H10" s="2" t="n"/>
    </row>
    <row r="11">
      <c r="A11" s="8" t="inlineStr">
        <is>
          <t>INCRNGO que afectan utilidad contable</t>
        </is>
      </c>
      <c r="B11" s="14" t="n">
        <v>0</v>
      </c>
      <c r="C11" s="10" t="n"/>
      <c r="D11" s="2" t="n"/>
      <c r="E11" s="2" t="n"/>
      <c r="F11" s="2" t="n"/>
      <c r="G11" s="2" t="n"/>
      <c r="H11" s="2" t="n"/>
    </row>
    <row r="12">
      <c r="A12" s="8" t="inlineStr">
        <is>
          <t>VIMPP - ingreso método de participación patrimonial</t>
        </is>
      </c>
      <c r="B12" s="14" t="n">
        <v>0</v>
      </c>
      <c r="C12" s="10" t="n"/>
      <c r="D12" s="2" t="n"/>
      <c r="E12" s="2" t="n"/>
      <c r="F12" s="2" t="n"/>
      <c r="G12" s="2" t="n"/>
      <c r="H12" s="2" t="n"/>
    </row>
    <row r="13">
      <c r="A13" s="8" t="inlineStr">
        <is>
          <t>VNGO - valor neto de ingresos por GO</t>
        </is>
      </c>
      <c r="B13" s="14" t="n">
        <v>0</v>
      </c>
      <c r="C13" s="10" t="n"/>
      <c r="D13" s="2" t="n"/>
      <c r="E13" s="2" t="n"/>
      <c r="F13" s="2" t="n"/>
      <c r="G13" s="2" t="n"/>
      <c r="H13" s="2" t="n"/>
    </row>
    <row r="14">
      <c r="A14" s="8" t="inlineStr">
        <is>
          <t>RE - rentas exentas por tratados / CHC / especiales</t>
        </is>
      </c>
      <c r="B14" s="14" t="n">
        <v>0</v>
      </c>
      <c r="C14" s="10" t="n"/>
      <c r="D14" s="2" t="n"/>
      <c r="E14" s="2" t="n"/>
      <c r="F14" s="2" t="n"/>
      <c r="G14" s="2" t="n"/>
      <c r="H14" s="2" t="n"/>
    </row>
    <row r="15">
      <c r="A15" s="8" t="inlineStr">
        <is>
          <t>C - compensaciones que no afectaron utilidad contable</t>
        </is>
      </c>
      <c r="B15" s="14" t="n">
        <v>0</v>
      </c>
      <c r="C15" s="10" t="n"/>
      <c r="D15" s="2" t="n"/>
      <c r="E15" s="2" t="n"/>
      <c r="F15" s="2" t="n"/>
      <c r="G15" s="2" t="n"/>
      <c r="H15" s="2" t="n"/>
    </row>
    <row r="16">
      <c r="A16" s="2" t="n"/>
      <c r="B16" s="20" t="n">
        <v>0</v>
      </c>
      <c r="C16" s="2" t="n"/>
      <c r="D16" s="2" t="n"/>
      <c r="E16" s="2" t="n"/>
      <c r="F16" s="2" t="n"/>
      <c r="G16" s="2" t="n"/>
      <c r="H16" s="2" t="n"/>
    </row>
    <row r="17">
      <c r="A17" s="8" t="inlineStr">
        <is>
          <t>DTC - descuentos o créditos por tratados / art. 254</t>
        </is>
      </c>
      <c r="B17" s="14" t="n">
        <v>0</v>
      </c>
      <c r="C17" s="10" t="n"/>
      <c r="D17" s="2" t="n"/>
      <c r="E17" s="2" t="n"/>
      <c r="F17" s="2" t="n"/>
      <c r="G17" s="2" t="n"/>
      <c r="H17" s="2" t="n"/>
    </row>
    <row r="18">
      <c r="A18" s="8" t="inlineStr">
        <is>
          <t>IRP - impuesto sobre rentas pasivas ECE</t>
        </is>
      </c>
      <c r="B18" s="14" t="n">
        <v>0</v>
      </c>
      <c r="C18" s="10" t="n"/>
      <c r="D18" s="2" t="n"/>
      <c r="E18" s="2" t="n"/>
      <c r="F18" s="2" t="n"/>
      <c r="G18" s="2" t="n"/>
      <c r="H18" s="2" t="n"/>
    </row>
    <row r="19">
      <c r="A19" s="2" t="n"/>
      <c r="B19" s="2" t="n"/>
      <c r="C19" s="2" t="n"/>
      <c r="D19" s="2" t="n"/>
      <c r="E19" s="2" t="n"/>
      <c r="F19" s="2" t="n"/>
      <c r="G19" s="2" t="n"/>
      <c r="H19" s="2" t="n"/>
    </row>
    <row r="20">
      <c r="A20" s="8" t="inlineStr">
        <is>
          <t>UD - utilidad depurada</t>
        </is>
      </c>
      <c r="B20" s="16">
        <f>B9+B10-B11-B12-B13-B14-B15</f>
        <v/>
      </c>
      <c r="C20" s="10" t="n"/>
      <c r="D20" s="2" t="n"/>
      <c r="E20" s="2" t="n"/>
      <c r="F20" s="2" t="n"/>
      <c r="G20" s="2" t="n"/>
      <c r="H20" s="2" t="n"/>
    </row>
    <row r="21">
      <c r="A21" s="8" t="inlineStr">
        <is>
          <t>ID - impuesto depurado</t>
        </is>
      </c>
      <c r="B21" s="16">
        <f>IFERROR(INDEX(LIQUIDACION_110!$D:$D,MATCH(94,LIQUIDACION_110!$A:$A,0)),0)+B17-B18</f>
        <v/>
      </c>
      <c r="C21" s="10" t="n"/>
      <c r="D21" s="2" t="n"/>
      <c r="E21" s="2" t="n"/>
      <c r="F21" s="2" t="n"/>
      <c r="G21" s="2" t="n"/>
      <c r="H21" s="2" t="n"/>
    </row>
    <row r="22">
      <c r="A22" s="8" t="inlineStr">
        <is>
          <t>TTD</t>
        </is>
      </c>
      <c r="B22" s="15">
        <f>IF(B20&gt;0,B21/B20,"")</f>
        <v/>
      </c>
      <c r="C22" s="10" t="n"/>
      <c r="D22" s="2" t="n"/>
      <c r="E22" s="2" t="n"/>
      <c r="F22" s="2" t="n"/>
      <c r="G22" s="2" t="n"/>
      <c r="H22" s="2" t="n"/>
    </row>
    <row r="23">
      <c r="A23" s="8" t="inlineStr">
        <is>
          <t>IA automático</t>
        </is>
      </c>
      <c r="B23" s="16">
        <f>IF(OR(B5="No",B6="Si",B20&lt;=0),0,MAX(0,ROUND(B20*PARAMS!$B$18-B21,0)))</f>
        <v/>
      </c>
      <c r="C23" s="10" t="n"/>
      <c r="D23" s="2" t="n"/>
      <c r="E23" s="2" t="n"/>
      <c r="F23" s="2" t="n"/>
      <c r="G23" s="2" t="n"/>
      <c r="H23" s="2" t="n"/>
    </row>
    <row r="24">
      <c r="A24" s="8" t="inlineStr">
        <is>
          <t>IA final casilla 95</t>
        </is>
      </c>
      <c r="B24" s="16">
        <f>IF(B7&gt;0,B7,IF(B6="Si",0,B23))</f>
        <v/>
      </c>
      <c r="C24" s="10" t="inlineStr">
        <is>
          <t>Este valor alimenta la casilla 95.</t>
        </is>
      </c>
      <c r="D24" s="2" t="n"/>
      <c r="E24" s="2" t="n"/>
      <c r="F24" s="2" t="n"/>
      <c r="G24" s="2" t="n"/>
      <c r="H24" s="2" t="n"/>
    </row>
  </sheetData>
  <mergeCells count="2">
    <mergeCell ref="A2:H2"/>
    <mergeCell ref="A1:H1"/>
  </mergeCells>
  <dataValidations count="1">
    <dataValidation sqref="B7 B9 B10 B11 B12 B13 B14 B15 B17 B18" showDropDown="0" showInputMessage="0" showErrorMessage="0" allowBlank="0" type="decimal" operator="greaterThanOrEqual">
      <formula1>0</formula1>
    </dataValidation>
  </dataValidations>
  <pageMargins left="0.75" right="0.75" top="1" bottom="1" header="0.5" footer="0.5"/>
</worksheet>
</file>

<file path=xl/worksheets/sheet9.xml><?xml version="1.0" encoding="utf-8"?>
<worksheet xmlns="http://schemas.openxmlformats.org/spreadsheetml/2006/main">
  <sheetPr>
    <tabColor rgb="00548235"/>
    <outlinePr summaryBelow="1" summaryRight="1"/>
    <pageSetUpPr/>
  </sheetPr>
  <dimension ref="A1:H102"/>
  <sheetViews>
    <sheetView showGridLines="0" workbookViewId="0">
      <pane ySplit="4" topLeftCell="A5" activePane="bottomLeft" state="frozen"/>
      <selection pane="bottomLeft" activeCell="A1" sqref="A1"/>
    </sheetView>
  </sheetViews>
  <sheetFormatPr baseColWidth="8" defaultRowHeight="15"/>
  <cols>
    <col width="10" customWidth="1" min="1" max="1"/>
    <col width="24" customWidth="1" min="2" max="2"/>
    <col width="52" customWidth="1" min="3" max="3"/>
    <col width="18" customWidth="1" min="4" max="4"/>
    <col width="40" customWidth="1" min="5" max="5"/>
    <col width="22" customWidth="1" min="6" max="6"/>
    <col width="18" customWidth="1" min="7" max="7"/>
    <col width="34" customWidth="1" min="8" max="8"/>
  </cols>
  <sheetData>
    <row r="1" ht="24" customHeight="1">
      <c r="A1" s="1" t="inlineStr">
        <is>
          <t>LIQUIDACION_110</t>
        </is>
      </c>
      <c r="B1" s="108" t="n"/>
      <c r="C1" s="108" t="n"/>
      <c r="D1" s="108" t="n"/>
      <c r="E1" s="108" t="n"/>
      <c r="F1" s="108" t="n"/>
      <c r="G1" s="108" t="n"/>
      <c r="H1" s="109" t="n"/>
    </row>
    <row r="2" ht="30" customHeight="1">
      <c r="A2" s="3" t="inlineStr">
        <is>
          <t>Motor principal del formulario 110 AG 2025. No edites aquí: todo debería venir de inputs, perfil, beneficios o TTD.</t>
        </is>
      </c>
      <c r="B2" s="108" t="n"/>
      <c r="C2" s="108" t="n"/>
      <c r="D2" s="108" t="n"/>
      <c r="E2" s="108" t="n"/>
      <c r="F2" s="108" t="n"/>
      <c r="G2" s="108" t="n"/>
      <c r="H2" s="109" t="n"/>
    </row>
    <row r="3">
      <c r="A3" s="2" t="n"/>
      <c r="B3" s="2" t="n"/>
      <c r="C3" s="2" t="n"/>
      <c r="D3" s="2" t="n"/>
      <c r="E3" s="2" t="n"/>
      <c r="F3" s="2" t="n"/>
      <c r="G3" s="2" t="n"/>
      <c r="H3" s="2" t="n"/>
    </row>
    <row r="4">
      <c r="A4" s="7" t="inlineStr">
        <is>
          <t>Casilla</t>
        </is>
      </c>
      <c r="B4" s="7" t="inlineStr">
        <is>
          <t>Sección</t>
        </is>
      </c>
      <c r="C4" s="7" t="inlineStr">
        <is>
          <t>Concepto</t>
        </is>
      </c>
      <c r="D4" s="7" t="inlineStr">
        <is>
          <t>Valor</t>
        </is>
      </c>
      <c r="E4" s="7" t="inlineStr">
        <is>
          <t>Regla base</t>
        </is>
      </c>
      <c r="F4" s="7" t="inlineStr">
        <is>
          <t>Origen</t>
        </is>
      </c>
      <c r="G4" s="7" t="inlineStr">
        <is>
          <t>Tipo</t>
        </is>
      </c>
      <c r="H4" s="7" t="inlineStr">
        <is>
          <t>Comentario</t>
        </is>
      </c>
    </row>
    <row r="5">
      <c r="A5" s="8" t="n">
        <v>1</v>
      </c>
      <c r="B5" s="8" t="inlineStr">
        <is>
          <t>Datos</t>
        </is>
      </c>
      <c r="C5" s="10" t="inlineStr">
        <is>
          <t>Año gravable</t>
        </is>
      </c>
      <c r="D5" s="21">
        <f>INPUTS_110!$D$6</f>
        <v/>
      </c>
      <c r="E5" s="10" t="inlineStr">
        <is>
          <t>Dato informado</t>
        </is>
      </c>
      <c r="F5" s="10" t="inlineStr">
        <is>
          <t>INPUTS_110</t>
        </is>
      </c>
      <c r="G5" s="10" t="inlineStr">
        <is>
          <t>Dato</t>
        </is>
      </c>
      <c r="H5" s="10" t="inlineStr"/>
    </row>
    <row r="6">
      <c r="A6" s="8" t="n">
        <v>4</v>
      </c>
      <c r="B6" s="8" t="inlineStr">
        <is>
          <t>Datos</t>
        </is>
      </c>
      <c r="C6" s="10" t="inlineStr">
        <is>
          <t>Número de formulario</t>
        </is>
      </c>
      <c r="D6" s="21">
        <f>INPUTS_110!$D$7</f>
        <v/>
      </c>
      <c r="E6" s="10" t="inlineStr">
        <is>
          <t>Dato informado</t>
        </is>
      </c>
      <c r="F6" s="10" t="inlineStr">
        <is>
          <t>INPUTS_110</t>
        </is>
      </c>
      <c r="G6" s="10" t="inlineStr">
        <is>
          <t>Dato</t>
        </is>
      </c>
      <c r="H6" s="10" t="inlineStr"/>
    </row>
    <row r="7">
      <c r="A7" s="8" t="n">
        <v>5</v>
      </c>
      <c r="B7" s="8" t="inlineStr">
        <is>
          <t>Datos</t>
        </is>
      </c>
      <c r="C7" s="10" t="inlineStr">
        <is>
          <t>NIT</t>
        </is>
      </c>
      <c r="D7" s="21">
        <f>INPUTS_110!$D$8</f>
        <v/>
      </c>
      <c r="E7" s="10" t="inlineStr">
        <is>
          <t>Dato informado</t>
        </is>
      </c>
      <c r="F7" s="10" t="inlineStr">
        <is>
          <t>INPUTS_110</t>
        </is>
      </c>
      <c r="G7" s="10" t="inlineStr">
        <is>
          <t>Dato</t>
        </is>
      </c>
      <c r="H7" s="10" t="inlineStr"/>
    </row>
    <row r="8">
      <c r="A8" s="8" t="n">
        <v>6</v>
      </c>
      <c r="B8" s="8" t="inlineStr">
        <is>
          <t>Datos</t>
        </is>
      </c>
      <c r="C8" s="10" t="inlineStr">
        <is>
          <t>DV</t>
        </is>
      </c>
      <c r="D8" s="21">
        <f>INPUTS_110!$D$9</f>
        <v/>
      </c>
      <c r="E8" s="10" t="inlineStr">
        <is>
          <t>Dato informado</t>
        </is>
      </c>
      <c r="F8" s="10" t="inlineStr">
        <is>
          <t>INPUTS_110</t>
        </is>
      </c>
      <c r="G8" s="10" t="inlineStr">
        <is>
          <t>Dato</t>
        </is>
      </c>
      <c r="H8" s="10" t="inlineStr"/>
    </row>
    <row r="9">
      <c r="A9" s="8" t="n">
        <v>11</v>
      </c>
      <c r="B9" s="8" t="inlineStr">
        <is>
          <t>Datos</t>
        </is>
      </c>
      <c r="C9" s="10" t="inlineStr">
        <is>
          <t>Razón social</t>
        </is>
      </c>
      <c r="D9" s="22">
        <f>INPUTS_110!$D$10</f>
        <v/>
      </c>
      <c r="E9" s="10" t="inlineStr">
        <is>
          <t>Dato informado</t>
        </is>
      </c>
      <c r="F9" s="10" t="inlineStr">
        <is>
          <t>INPUTS_110</t>
        </is>
      </c>
      <c r="G9" s="10" t="inlineStr">
        <is>
          <t>Dato</t>
        </is>
      </c>
      <c r="H9" s="10" t="inlineStr"/>
    </row>
    <row r="10">
      <c r="A10" s="8" t="n">
        <v>12</v>
      </c>
      <c r="B10" s="8" t="inlineStr">
        <is>
          <t>Datos</t>
        </is>
      </c>
      <c r="C10" s="10" t="inlineStr">
        <is>
          <t>Cód. dirección seccional</t>
        </is>
      </c>
      <c r="D10" s="21">
        <f>INPUTS_110!$D$11</f>
        <v/>
      </c>
      <c r="E10" s="10" t="inlineStr">
        <is>
          <t>Dato informado</t>
        </is>
      </c>
      <c r="F10" s="10" t="inlineStr">
        <is>
          <t>INPUTS_110</t>
        </is>
      </c>
      <c r="G10" s="10" t="inlineStr">
        <is>
          <t>Dato</t>
        </is>
      </c>
      <c r="H10" s="10" t="inlineStr"/>
    </row>
    <row r="11">
      <c r="A11" s="8" t="n">
        <v>24</v>
      </c>
      <c r="B11" s="8" t="inlineStr">
        <is>
          <t>Datos</t>
        </is>
      </c>
      <c r="C11" s="10" t="inlineStr">
        <is>
          <t>Actividad económica principal</t>
        </is>
      </c>
      <c r="D11" s="21">
        <f>INPUTS_110!$D$12</f>
        <v/>
      </c>
      <c r="E11" s="10" t="inlineStr">
        <is>
          <t>Dato informado</t>
        </is>
      </c>
      <c r="F11" s="10" t="inlineStr">
        <is>
          <t>INPUTS_110</t>
        </is>
      </c>
      <c r="G11" s="10" t="inlineStr">
        <is>
          <t>Dato</t>
        </is>
      </c>
      <c r="H11" s="10" t="inlineStr"/>
    </row>
    <row r="12">
      <c r="A12" s="8" t="n">
        <v>25</v>
      </c>
      <c r="B12" s="8" t="inlineStr">
        <is>
          <t>Datos</t>
        </is>
      </c>
      <c r="C12" s="10" t="inlineStr">
        <is>
          <t>Código corrección</t>
        </is>
      </c>
      <c r="D12" s="21">
        <f>INPUTS_110!$D$13</f>
        <v/>
      </c>
      <c r="E12" s="10" t="inlineStr">
        <is>
          <t>Dato informado</t>
        </is>
      </c>
      <c r="F12" s="10" t="inlineStr">
        <is>
          <t>INPUTS_110</t>
        </is>
      </c>
      <c r="G12" s="10" t="inlineStr">
        <is>
          <t>Dato</t>
        </is>
      </c>
      <c r="H12" s="10" t="inlineStr"/>
    </row>
    <row r="13">
      <c r="A13" s="8" t="n">
        <v>26</v>
      </c>
      <c r="B13" s="8" t="inlineStr">
        <is>
          <t>Datos</t>
        </is>
      </c>
      <c r="C13" s="10" t="inlineStr">
        <is>
          <t>No. formulario anterior</t>
        </is>
      </c>
      <c r="D13" s="21">
        <f>INPUTS_110!$D$14</f>
        <v/>
      </c>
      <c r="E13" s="10" t="inlineStr">
        <is>
          <t>Dato informado</t>
        </is>
      </c>
      <c r="F13" s="10" t="inlineStr">
        <is>
          <t>INPUTS_110</t>
        </is>
      </c>
      <c r="G13" s="10" t="inlineStr">
        <is>
          <t>Dato</t>
        </is>
      </c>
      <c r="H13" s="10" t="inlineStr"/>
    </row>
    <row r="14">
      <c r="A14" s="8" t="n">
        <v>29</v>
      </c>
      <c r="B14" s="8" t="inlineStr">
        <is>
          <t>Datos</t>
        </is>
      </c>
      <c r="C14" s="10" t="inlineStr">
        <is>
          <t>Fracción año gravable siguiente</t>
        </is>
      </c>
      <c r="D14" s="21">
        <f>IF(N(INPUTS_110!$D$15)&gt;0,1,0)</f>
        <v/>
      </c>
      <c r="E14" s="10" t="inlineStr">
        <is>
          <t>0 o 1</t>
        </is>
      </c>
      <c r="F14" s="10" t="inlineStr">
        <is>
          <t>INPUTS_110</t>
        </is>
      </c>
      <c r="G14" s="10" t="inlineStr">
        <is>
          <t>Control</t>
        </is>
      </c>
      <c r="H14" s="10" t="inlineStr"/>
    </row>
    <row r="15">
      <c r="A15" s="8" t="n">
        <v>30</v>
      </c>
      <c r="B15" s="8" t="inlineStr">
        <is>
          <t>Datos</t>
        </is>
      </c>
      <c r="C15" s="10" t="inlineStr">
        <is>
          <t>Renunció a pertenecer al RTE</t>
        </is>
      </c>
      <c r="D15" s="21">
        <f>IF(N(INPUTS_110!$D$16)&gt;0,1,0)</f>
        <v/>
      </c>
      <c r="E15" s="10" t="inlineStr">
        <is>
          <t>0 o 1</t>
        </is>
      </c>
      <c r="F15" s="10" t="inlineStr">
        <is>
          <t>INPUTS_110</t>
        </is>
      </c>
      <c r="G15" s="10" t="inlineStr">
        <is>
          <t>Control</t>
        </is>
      </c>
      <c r="H15" s="10" t="inlineStr"/>
    </row>
    <row r="16">
      <c r="A16" s="8" t="n">
        <v>31</v>
      </c>
      <c r="B16" s="8" t="inlineStr">
        <is>
          <t>Datos</t>
        </is>
      </c>
      <c r="C16" s="10" t="inlineStr">
        <is>
          <t>Vinculado al pago de obras por impuestos</t>
        </is>
      </c>
      <c r="D16" s="21">
        <f>IF(N(INPUTS_110!$D$17)&gt;0,1,0)</f>
        <v/>
      </c>
      <c r="E16" s="10" t="inlineStr">
        <is>
          <t>0 o 1</t>
        </is>
      </c>
      <c r="F16" s="10" t="inlineStr">
        <is>
          <t>INPUTS_110</t>
        </is>
      </c>
      <c r="G16" s="10" t="inlineStr">
        <is>
          <t>Control</t>
        </is>
      </c>
      <c r="H16" s="10" t="inlineStr"/>
    </row>
    <row r="17">
      <c r="A17" s="8" t="n">
        <v>33</v>
      </c>
      <c r="B17" s="8" t="inlineStr">
        <is>
          <t>Informativo</t>
        </is>
      </c>
      <c r="C17" s="10" t="inlineStr">
        <is>
          <t>Total costos y gastos de nómina</t>
        </is>
      </c>
      <c r="D17" s="23">
        <f>ROUND(MAX(0,N(INPUTS_110!$D$19)),0)</f>
        <v/>
      </c>
      <c r="E17" s="10" t="inlineStr">
        <is>
          <t>Dato informativo</t>
        </is>
      </c>
      <c r="F17" s="10" t="inlineStr">
        <is>
          <t>INPUTS_110</t>
        </is>
      </c>
      <c r="G17" s="10" t="inlineStr">
        <is>
          <t>Moneda</t>
        </is>
      </c>
      <c r="H17" s="10" t="inlineStr"/>
    </row>
    <row r="18">
      <c r="A18" s="8" t="n">
        <v>34</v>
      </c>
      <c r="B18" s="8" t="inlineStr">
        <is>
          <t>Informativo</t>
        </is>
      </c>
      <c r="C18" s="10" t="inlineStr">
        <is>
          <t>Aportes al sistema de seguridad social</t>
        </is>
      </c>
      <c r="D18" s="23">
        <f>ROUND(MAX(0,N(INPUTS_110!$D$20)),0)</f>
        <v/>
      </c>
      <c r="E18" s="10" t="inlineStr">
        <is>
          <t>Dato informativo</t>
        </is>
      </c>
      <c r="F18" s="10" t="inlineStr">
        <is>
          <t>INPUTS_110</t>
        </is>
      </c>
      <c r="G18" s="10" t="inlineStr">
        <is>
          <t>Moneda</t>
        </is>
      </c>
      <c r="H18" s="10" t="inlineStr"/>
    </row>
    <row r="19">
      <c r="A19" s="8" t="n">
        <v>35</v>
      </c>
      <c r="B19" s="8" t="inlineStr">
        <is>
          <t>Informativo</t>
        </is>
      </c>
      <c r="C19" s="10" t="inlineStr">
        <is>
          <t>Aportes al SENA, ICBF y cajas de compensación</t>
        </is>
      </c>
      <c r="D19" s="23">
        <f>ROUND(MAX(0,N(INPUTS_110!$D$21)),0)</f>
        <v/>
      </c>
      <c r="E19" s="10" t="inlineStr">
        <is>
          <t>Dato informativo</t>
        </is>
      </c>
      <c r="F19" s="10" t="inlineStr">
        <is>
          <t>INPUTS_110</t>
        </is>
      </c>
      <c r="G19" s="10" t="inlineStr">
        <is>
          <t>Moneda</t>
        </is>
      </c>
      <c r="H19" s="10" t="inlineStr"/>
    </row>
    <row r="20">
      <c r="A20" s="8" t="n">
        <v>36</v>
      </c>
      <c r="B20" s="8" t="inlineStr">
        <is>
          <t>Patrimonio</t>
        </is>
      </c>
      <c r="C20" s="10" t="inlineStr">
        <is>
          <t>Efectivo y equivalentes al efectivo</t>
        </is>
      </c>
      <c r="D20" s="23">
        <f>ROUND(MAX(0,N(INPUTS_110!$D$23)),0)</f>
        <v/>
      </c>
      <c r="E20" s="10" t="inlineStr">
        <is>
          <t>Input</t>
        </is>
      </c>
      <c r="F20" s="10" t="inlineStr">
        <is>
          <t>INPUTS_110</t>
        </is>
      </c>
      <c r="G20" s="10" t="inlineStr">
        <is>
          <t>Moneda</t>
        </is>
      </c>
      <c r="H20" s="10" t="inlineStr"/>
    </row>
    <row r="21">
      <c r="A21" s="8" t="n">
        <v>37</v>
      </c>
      <c r="B21" s="8" t="inlineStr">
        <is>
          <t>Patrimonio</t>
        </is>
      </c>
      <c r="C21" s="10" t="inlineStr">
        <is>
          <t>Inversiones e instrumentos financieros derivados</t>
        </is>
      </c>
      <c r="D21" s="23">
        <f>ROUND(MAX(0,N(INPUTS_110!$D$24)),0)</f>
        <v/>
      </c>
      <c r="E21" s="10" t="inlineStr">
        <is>
          <t>Input</t>
        </is>
      </c>
      <c r="F21" s="10" t="inlineStr">
        <is>
          <t>INPUTS_110</t>
        </is>
      </c>
      <c r="G21" s="10" t="inlineStr">
        <is>
          <t>Moneda</t>
        </is>
      </c>
      <c r="H21" s="10" t="inlineStr"/>
    </row>
    <row r="22">
      <c r="A22" s="8" t="n">
        <v>38</v>
      </c>
      <c r="B22" s="8" t="inlineStr">
        <is>
          <t>Patrimonio</t>
        </is>
      </c>
      <c r="C22" s="10" t="inlineStr">
        <is>
          <t>Cuentas, documentos y arrendamientos financieros por cobrar</t>
        </is>
      </c>
      <c r="D22" s="23">
        <f>ROUND(MAX(0,N(INPUTS_110!$D$25)),0)</f>
        <v/>
      </c>
      <c r="E22" s="10" t="inlineStr">
        <is>
          <t>Input</t>
        </is>
      </c>
      <c r="F22" s="10" t="inlineStr">
        <is>
          <t>INPUTS_110</t>
        </is>
      </c>
      <c r="G22" s="10" t="inlineStr">
        <is>
          <t>Moneda</t>
        </is>
      </c>
      <c r="H22" s="10" t="inlineStr"/>
    </row>
    <row r="23">
      <c r="A23" s="8" t="n">
        <v>39</v>
      </c>
      <c r="B23" s="8" t="inlineStr">
        <is>
          <t>Patrimonio</t>
        </is>
      </c>
      <c r="C23" s="10" t="inlineStr">
        <is>
          <t>Inventarios</t>
        </is>
      </c>
      <c r="D23" s="23">
        <f>ROUND(MAX(0,N(INPUTS_110!$D$26)),0)</f>
        <v/>
      </c>
      <c r="E23" s="10" t="inlineStr">
        <is>
          <t>Input</t>
        </is>
      </c>
      <c r="F23" s="10" t="inlineStr">
        <is>
          <t>INPUTS_110</t>
        </is>
      </c>
      <c r="G23" s="10" t="inlineStr">
        <is>
          <t>Moneda</t>
        </is>
      </c>
      <c r="H23" s="10" t="inlineStr"/>
    </row>
    <row r="24">
      <c r="A24" s="8" t="n">
        <v>40</v>
      </c>
      <c r="B24" s="8" t="inlineStr">
        <is>
          <t>Patrimonio</t>
        </is>
      </c>
      <c r="C24" s="10" t="inlineStr">
        <is>
          <t>Activos intangibles</t>
        </is>
      </c>
      <c r="D24" s="23">
        <f>ROUND(MAX(0,N(INPUTS_110!$D$27)),0)</f>
        <v/>
      </c>
      <c r="E24" s="10" t="inlineStr">
        <is>
          <t>Input</t>
        </is>
      </c>
      <c r="F24" s="10" t="inlineStr">
        <is>
          <t>INPUTS_110</t>
        </is>
      </c>
      <c r="G24" s="10" t="inlineStr">
        <is>
          <t>Moneda</t>
        </is>
      </c>
      <c r="H24" s="10" t="inlineStr"/>
    </row>
    <row r="25">
      <c r="A25" s="8" t="n">
        <v>41</v>
      </c>
      <c r="B25" s="8" t="inlineStr">
        <is>
          <t>Patrimonio</t>
        </is>
      </c>
      <c r="C25" s="10" t="inlineStr">
        <is>
          <t>Activos biológicos</t>
        </is>
      </c>
      <c r="D25" s="23">
        <f>ROUND(MAX(0,N(INPUTS_110!$D$28)),0)</f>
        <v/>
      </c>
      <c r="E25" s="10" t="inlineStr">
        <is>
          <t>Input</t>
        </is>
      </c>
      <c r="F25" s="10" t="inlineStr">
        <is>
          <t>INPUTS_110</t>
        </is>
      </c>
      <c r="G25" s="10" t="inlineStr">
        <is>
          <t>Moneda</t>
        </is>
      </c>
      <c r="H25" s="10" t="inlineStr"/>
    </row>
    <row r="26">
      <c r="A26" s="8" t="n">
        <v>42</v>
      </c>
      <c r="B26" s="8" t="inlineStr">
        <is>
          <t>Patrimonio</t>
        </is>
      </c>
      <c r="C26" s="10" t="inlineStr">
        <is>
          <t>Propiedades, planta y equipo, propiedades de inversión y ANCMV</t>
        </is>
      </c>
      <c r="D26" s="23">
        <f>ROUND(MAX(0,N(INPUTS_110!$D$29)),0)</f>
        <v/>
      </c>
      <c r="E26" s="10" t="inlineStr">
        <is>
          <t>Input</t>
        </is>
      </c>
      <c r="F26" s="10" t="inlineStr">
        <is>
          <t>INPUTS_110</t>
        </is>
      </c>
      <c r="G26" s="10" t="inlineStr">
        <is>
          <t>Moneda</t>
        </is>
      </c>
      <c r="H26" s="10" t="inlineStr"/>
    </row>
    <row r="27">
      <c r="A27" s="8" t="n">
        <v>43</v>
      </c>
      <c r="B27" s="8" t="inlineStr">
        <is>
          <t>Patrimonio</t>
        </is>
      </c>
      <c r="C27" s="10" t="inlineStr">
        <is>
          <t>Otros activos</t>
        </is>
      </c>
      <c r="D27" s="23">
        <f>ROUND(MAX(0,N(INPUTS_110!$D$30)),0)</f>
        <v/>
      </c>
      <c r="E27" s="10" t="inlineStr">
        <is>
          <t>Input</t>
        </is>
      </c>
      <c r="F27" s="10" t="inlineStr">
        <is>
          <t>INPUTS_110</t>
        </is>
      </c>
      <c r="G27" s="10" t="inlineStr">
        <is>
          <t>Moneda</t>
        </is>
      </c>
      <c r="H27" s="10" t="inlineStr"/>
    </row>
    <row r="28">
      <c r="A28" s="24" t="n">
        <v>44</v>
      </c>
      <c r="B28" s="24" t="inlineStr">
        <is>
          <t>Patrimonio</t>
        </is>
      </c>
      <c r="C28" s="25" t="inlineStr">
        <is>
          <t>Total patrimonio bruto</t>
        </is>
      </c>
      <c r="D28" s="26">
        <f>ROUND(SUM(IFERROR(INDEX(LIQUIDACION_110!$D:$D,MATCH(36,LIQUIDACION_110!$A:$A,0)),0),IFERROR(INDEX(LIQUIDACION_110!$D:$D,MATCH(37,LIQUIDACION_110!$A:$A,0)),0),IFERROR(INDEX(LIQUIDACION_110!$D:$D,MATCH(38,LIQUIDACION_110!$A:$A,0)),0),IFERROR(INDEX(LIQUIDACION_110!$D:$D,MATCH(39,LIQUIDACION_110!$A:$A,0)),0),IFERROR(INDEX(LIQUIDACION_110!$D:$D,MATCH(40,LIQUIDACION_110!$A:$A,0)),0),IFERROR(INDEX(LIQUIDACION_110!$D:$D,MATCH(41,LIQUIDACION_110!$A:$A,0)),0),IFERROR(INDEX(LIQUIDACION_110!$D:$D,MATCH(42,LIQUIDACION_110!$A:$A,0)),0),IFERROR(INDEX(LIQUIDACION_110!$D:$D,MATCH(43,LIQUIDACION_110!$A:$A,0)),0)),0)</f>
        <v/>
      </c>
      <c r="E28" s="25" t="inlineStr">
        <is>
          <t>36 a 43</t>
        </is>
      </c>
      <c r="F28" s="25" t="inlineStr">
        <is>
          <t>Cálculo</t>
        </is>
      </c>
      <c r="G28" s="25" t="inlineStr">
        <is>
          <t>Total</t>
        </is>
      </c>
      <c r="H28" s="25" t="inlineStr"/>
    </row>
    <row r="29">
      <c r="A29" s="8" t="n">
        <v>45</v>
      </c>
      <c r="B29" s="8" t="inlineStr">
        <is>
          <t>Patrimonio</t>
        </is>
      </c>
      <c r="C29" s="10" t="inlineStr">
        <is>
          <t>Pasivos</t>
        </is>
      </c>
      <c r="D29" s="23">
        <f>ROUND(MAX(0,N(INPUTS_110!$D$31)),0)</f>
        <v/>
      </c>
      <c r="E29" s="10" t="inlineStr">
        <is>
          <t>Input</t>
        </is>
      </c>
      <c r="F29" s="10" t="inlineStr">
        <is>
          <t>INPUTS_110</t>
        </is>
      </c>
      <c r="G29" s="10" t="inlineStr">
        <is>
          <t>Moneda</t>
        </is>
      </c>
      <c r="H29" s="10" t="inlineStr"/>
    </row>
    <row r="30">
      <c r="A30" s="24" t="n">
        <v>46</v>
      </c>
      <c r="B30" s="24" t="inlineStr">
        <is>
          <t>Patrimonio</t>
        </is>
      </c>
      <c r="C30" s="25" t="inlineStr">
        <is>
          <t>Total patrimonio líquido</t>
        </is>
      </c>
      <c r="D30" s="26">
        <f>ROUND(IFERROR(INDEX(LIQUIDACION_110!$D:$D,MATCH(44,LIQUIDACION_110!$A:$A,0)),0)-IFERROR(INDEX(LIQUIDACION_110!$D:$D,MATCH(45,LIQUIDACION_110!$A:$A,0)),0),0)</f>
        <v/>
      </c>
      <c r="E30" s="25" t="inlineStr">
        <is>
          <t>44 - 45</t>
        </is>
      </c>
      <c r="F30" s="25" t="inlineStr">
        <is>
          <t>Cálculo</t>
        </is>
      </c>
      <c r="G30" s="25" t="inlineStr">
        <is>
          <t>Total</t>
        </is>
      </c>
      <c r="H30" s="25" t="inlineStr"/>
    </row>
    <row r="31">
      <c r="A31" s="8" t="n">
        <v>47</v>
      </c>
      <c r="B31" s="8" t="inlineStr">
        <is>
          <t>Ingresos</t>
        </is>
      </c>
      <c r="C31" s="10" t="inlineStr">
        <is>
          <t>Ingresos brutos de actividades ordinarias</t>
        </is>
      </c>
      <c r="D31" s="23">
        <f>ROUND(MAX(0,N(INPUTS_110!$D$33)),0)</f>
        <v/>
      </c>
      <c r="E31" s="10" t="inlineStr">
        <is>
          <t>Input</t>
        </is>
      </c>
      <c r="F31" s="10" t="inlineStr">
        <is>
          <t>INPUTS_110</t>
        </is>
      </c>
      <c r="G31" s="10" t="inlineStr">
        <is>
          <t>Moneda</t>
        </is>
      </c>
      <c r="H31" s="10" t="inlineStr"/>
    </row>
    <row r="32">
      <c r="A32" s="8" t="n">
        <v>48</v>
      </c>
      <c r="B32" s="8" t="inlineStr">
        <is>
          <t>Ingresos</t>
        </is>
      </c>
      <c r="C32" s="10" t="inlineStr">
        <is>
          <t>Ingresos financieros</t>
        </is>
      </c>
      <c r="D32" s="23">
        <f>ROUND(MAX(0,N(INPUTS_110!$D$34)),0)</f>
        <v/>
      </c>
      <c r="E32" s="10" t="inlineStr">
        <is>
          <t>Input</t>
        </is>
      </c>
      <c r="F32" s="10" t="inlineStr">
        <is>
          <t>INPUTS_110</t>
        </is>
      </c>
      <c r="G32" s="10" t="inlineStr">
        <is>
          <t>Moneda</t>
        </is>
      </c>
      <c r="H32" s="10" t="inlineStr"/>
    </row>
    <row r="33">
      <c r="A33" s="8" t="n">
        <v>49</v>
      </c>
      <c r="B33" s="8" t="inlineStr">
        <is>
          <t>Ingresos</t>
        </is>
      </c>
      <c r="C33" s="10" t="inlineStr">
        <is>
          <t>Dividendos y participaciones no constitutivos de renta ni GO</t>
        </is>
      </c>
      <c r="D33" s="23">
        <f>ROUND(MAX(0,N(INPUTS_110!$D$35)),0)</f>
        <v/>
      </c>
      <c r="E33" s="10" t="inlineStr">
        <is>
          <t>Input</t>
        </is>
      </c>
      <c r="F33" s="10" t="inlineStr">
        <is>
          <t>INPUTS_110</t>
        </is>
      </c>
      <c r="G33" s="10" t="inlineStr">
        <is>
          <t>Moneda</t>
        </is>
      </c>
      <c r="H33" s="10" t="inlineStr"/>
    </row>
    <row r="34">
      <c r="A34" s="8" t="n">
        <v>50</v>
      </c>
      <c r="B34" s="8" t="inlineStr">
        <is>
          <t>Ingresos</t>
        </is>
      </c>
      <c r="C34" s="10" t="inlineStr">
        <is>
          <t>Dividendos distribuidos por entidades no residentes a una CHC y prima en colocación</t>
        </is>
      </c>
      <c r="D34" s="23">
        <f>ROUND(MAX(0,N(INPUTS_110!$D$36)),0)</f>
        <v/>
      </c>
      <c r="E34" s="10" t="inlineStr">
        <is>
          <t>Input</t>
        </is>
      </c>
      <c r="F34" s="10" t="inlineStr">
        <is>
          <t>INPUTS_110</t>
        </is>
      </c>
      <c r="G34" s="10" t="inlineStr">
        <is>
          <t>Moneda</t>
        </is>
      </c>
      <c r="H34" s="10" t="inlineStr"/>
    </row>
    <row r="35">
      <c r="A35" s="8" t="n">
        <v>51</v>
      </c>
      <c r="B35" s="8" t="inlineStr">
        <is>
          <t>Ingresos</t>
        </is>
      </c>
      <c r="C35" s="10" t="inlineStr">
        <is>
          <t>Dividendos gravados a tarifa general provenientes de sociedades y entidades extranjeras o nacionales</t>
        </is>
      </c>
      <c r="D35" s="23">
        <f>ROUND(MAX(0,N(INPUTS_110!$D$37)),0)</f>
        <v/>
      </c>
      <c r="E35" s="10" t="inlineStr">
        <is>
          <t>Input</t>
        </is>
      </c>
      <c r="F35" s="10" t="inlineStr">
        <is>
          <t>INPUTS_110</t>
        </is>
      </c>
      <c r="G35" s="10" t="inlineStr">
        <is>
          <t>Moneda</t>
        </is>
      </c>
      <c r="H35" s="10" t="inlineStr"/>
    </row>
    <row r="36">
      <c r="A36" s="8" t="n">
        <v>52</v>
      </c>
      <c r="B36" s="8" t="inlineStr">
        <is>
          <t>Ingresos</t>
        </is>
      </c>
      <c r="C36" s="10" t="inlineStr">
        <is>
          <t>Dividendos gravados recibidos por personas naturales sin residencia fiscal (2016 y anteriores)</t>
        </is>
      </c>
      <c r="D36" s="23">
        <f>ROUND(MAX(0,N(INPUTS_110!$D$38)),0)</f>
        <v/>
      </c>
      <c r="E36" s="10" t="inlineStr">
        <is>
          <t>Input</t>
        </is>
      </c>
      <c r="F36" s="10" t="inlineStr">
        <is>
          <t>INPUTS_110</t>
        </is>
      </c>
      <c r="G36" s="10" t="inlineStr">
        <is>
          <t>Moneda</t>
        </is>
      </c>
      <c r="H36" s="10" t="inlineStr"/>
    </row>
    <row r="37">
      <c r="A37" s="8" t="n">
        <v>53</v>
      </c>
      <c r="B37" s="8" t="inlineStr">
        <is>
          <t>Ingresos</t>
        </is>
      </c>
      <c r="C37" s="10" t="inlineStr">
        <is>
          <t>Dividendos gravados recibidos por personas naturales sin residencia fiscal (2017 y siguientes)</t>
        </is>
      </c>
      <c r="D37" s="23">
        <f>ROUND(MAX(0,N(INPUTS_110!$D$39)),0)</f>
        <v/>
      </c>
      <c r="E37" s="10" t="inlineStr">
        <is>
          <t>Input</t>
        </is>
      </c>
      <c r="F37" s="10" t="inlineStr">
        <is>
          <t>INPUTS_110</t>
        </is>
      </c>
      <c r="G37" s="10" t="inlineStr">
        <is>
          <t>Moneda</t>
        </is>
      </c>
      <c r="H37" s="10" t="inlineStr"/>
    </row>
    <row r="38">
      <c r="A38" s="8" t="n">
        <v>54</v>
      </c>
      <c r="B38" s="8" t="inlineStr">
        <is>
          <t>Ingresos</t>
        </is>
      </c>
      <c r="C38" s="10" t="inlineStr">
        <is>
          <t>Dividendos gravados a las tarifas de los artículos 245 o 246 E.T.</t>
        </is>
      </c>
      <c r="D38" s="23">
        <f>ROUND(MAX(0,N(INPUTS_110!$D$40)),0)</f>
        <v/>
      </c>
      <c r="E38" s="10" t="inlineStr">
        <is>
          <t>Input</t>
        </is>
      </c>
      <c r="F38" s="10" t="inlineStr">
        <is>
          <t>INPUTS_110</t>
        </is>
      </c>
      <c r="G38" s="10" t="inlineStr">
        <is>
          <t>Moneda</t>
        </is>
      </c>
      <c r="H38" s="10" t="inlineStr"/>
    </row>
    <row r="39">
      <c r="A39" s="8" t="n">
        <v>55</v>
      </c>
      <c r="B39" s="8" t="inlineStr">
        <is>
          <t>Ingresos</t>
        </is>
      </c>
      <c r="C39" s="10" t="inlineStr">
        <is>
          <t>Dividendos gravados a tarifa general (EP y sociedades extranjeras)</t>
        </is>
      </c>
      <c r="D39" s="23">
        <f>ROUND(MAX(0,N(INPUTS_110!$D$41)),0)</f>
        <v/>
      </c>
      <c r="E39" s="10" t="inlineStr">
        <is>
          <t>Input</t>
        </is>
      </c>
      <c r="F39" s="10" t="inlineStr">
        <is>
          <t>INPUTS_110</t>
        </is>
      </c>
      <c r="G39" s="10" t="inlineStr">
        <is>
          <t>Moneda</t>
        </is>
      </c>
      <c r="H39" s="10" t="inlineStr"/>
    </row>
    <row r="40">
      <c r="A40" s="8" t="n">
        <v>56</v>
      </c>
      <c r="B40" s="8" t="inlineStr">
        <is>
          <t>Ingresos</t>
        </is>
      </c>
      <c r="C40" s="10" t="inlineStr">
        <is>
          <t>Dividendos provenientes de megainversión gravados al 27%</t>
        </is>
      </c>
      <c r="D40" s="23">
        <f>ROUND(MAX(0,N(INPUTS_110!$D$42)),0)</f>
        <v/>
      </c>
      <c r="E40" s="10" t="inlineStr">
        <is>
          <t>Input</t>
        </is>
      </c>
      <c r="F40" s="10" t="inlineStr">
        <is>
          <t>INPUTS_110</t>
        </is>
      </c>
      <c r="G40" s="10" t="inlineStr">
        <is>
          <t>Moneda</t>
        </is>
      </c>
      <c r="H40" s="10" t="inlineStr"/>
    </row>
    <row r="41">
      <c r="A41" s="8" t="n">
        <v>57</v>
      </c>
      <c r="B41" s="8" t="inlineStr">
        <is>
          <t>Ingresos</t>
        </is>
      </c>
      <c r="C41" s="10" t="inlineStr">
        <is>
          <t>Otros ingresos</t>
        </is>
      </c>
      <c r="D41" s="23">
        <f>ROUND(MAX(0,N(INPUTS_110!$D$43)),0)</f>
        <v/>
      </c>
      <c r="E41" s="10" t="inlineStr">
        <is>
          <t>Input</t>
        </is>
      </c>
      <c r="F41" s="10" t="inlineStr">
        <is>
          <t>INPUTS_110</t>
        </is>
      </c>
      <c r="G41" s="10" t="inlineStr">
        <is>
          <t>Moneda</t>
        </is>
      </c>
      <c r="H41" s="10" t="inlineStr"/>
    </row>
    <row r="42">
      <c r="A42" s="24" t="n">
        <v>58</v>
      </c>
      <c r="B42" s="24" t="inlineStr">
        <is>
          <t>Ingresos</t>
        </is>
      </c>
      <c r="C42" s="25" t="inlineStr">
        <is>
          <t>Total ingresos brutos</t>
        </is>
      </c>
      <c r="D42" s="26">
        <f>ROUND(SUM(IFERROR(INDEX(LIQUIDACION_110!$D:$D,MATCH(47,LIQUIDACION_110!$A:$A,0)),0),IFERROR(INDEX(LIQUIDACION_110!$D:$D,MATCH(48,LIQUIDACION_110!$A:$A,0)),0),IFERROR(INDEX(LIQUIDACION_110!$D:$D,MATCH(49,LIQUIDACION_110!$A:$A,0)),0),IFERROR(INDEX(LIQUIDACION_110!$D:$D,MATCH(50,LIQUIDACION_110!$A:$A,0)),0),IFERROR(INDEX(LIQUIDACION_110!$D:$D,MATCH(51,LIQUIDACION_110!$A:$A,0)),0),IFERROR(INDEX(LIQUIDACION_110!$D:$D,MATCH(52,LIQUIDACION_110!$A:$A,0)),0),IFERROR(INDEX(LIQUIDACION_110!$D:$D,MATCH(53,LIQUIDACION_110!$A:$A,0)),0),IFERROR(INDEX(LIQUIDACION_110!$D:$D,MATCH(54,LIQUIDACION_110!$A:$A,0)),0),IFERROR(INDEX(LIQUIDACION_110!$D:$D,MATCH(55,LIQUIDACION_110!$A:$A,0)),0),IFERROR(INDEX(LIQUIDACION_110!$D:$D,MATCH(56,LIQUIDACION_110!$A:$A,0)),0),IFERROR(INDEX(LIQUIDACION_110!$D:$D,MATCH(57,LIQUIDACION_110!$A:$A,0)),0)),0)</f>
        <v/>
      </c>
      <c r="E42" s="25" t="inlineStr">
        <is>
          <t>47 a 57</t>
        </is>
      </c>
      <c r="F42" s="25" t="inlineStr">
        <is>
          <t>Cálculo</t>
        </is>
      </c>
      <c r="G42" s="25" t="inlineStr">
        <is>
          <t>Total</t>
        </is>
      </c>
      <c r="H42" s="25" t="inlineStr"/>
    </row>
    <row r="43">
      <c r="A43" s="8" t="n">
        <v>59</v>
      </c>
      <c r="B43" s="8" t="inlineStr">
        <is>
          <t>Ingresos</t>
        </is>
      </c>
      <c r="C43" s="10" t="inlineStr">
        <is>
          <t>Devoluciones, rebajas y descuentos en ventas</t>
        </is>
      </c>
      <c r="D43" s="23">
        <f>ROUND(MAX(0,N(INPUTS_110!$D$44)),0)</f>
        <v/>
      </c>
      <c r="E43" s="10" t="inlineStr">
        <is>
          <t>Input</t>
        </is>
      </c>
      <c r="F43" s="10" t="inlineStr">
        <is>
          <t>INPUTS_110</t>
        </is>
      </c>
      <c r="G43" s="10" t="inlineStr">
        <is>
          <t>Moneda</t>
        </is>
      </c>
      <c r="H43" s="10" t="inlineStr"/>
    </row>
    <row r="44">
      <c r="A44" s="8" t="n">
        <v>60</v>
      </c>
      <c r="B44" s="8" t="inlineStr">
        <is>
          <t>Ingresos</t>
        </is>
      </c>
      <c r="C44" s="10" t="inlineStr">
        <is>
          <t>Ingresos no constitutivos de renta ni ganancia ocasional</t>
        </is>
      </c>
      <c r="D44" s="23">
        <f>ROUND(MAX(0,N(INPUTS_110!$D$45)),0)</f>
        <v/>
      </c>
      <c r="E44" s="10" t="inlineStr">
        <is>
          <t>Input</t>
        </is>
      </c>
      <c r="F44" s="10" t="inlineStr">
        <is>
          <t>INPUTS_110</t>
        </is>
      </c>
      <c r="G44" s="10" t="inlineStr">
        <is>
          <t>Moneda</t>
        </is>
      </c>
      <c r="H44" s="10" t="inlineStr"/>
    </row>
    <row r="45">
      <c r="A45" s="24" t="n">
        <v>61</v>
      </c>
      <c r="B45" s="24" t="inlineStr">
        <is>
          <t>Ingresos</t>
        </is>
      </c>
      <c r="C45" s="25" t="inlineStr">
        <is>
          <t>Total ingresos netos</t>
        </is>
      </c>
      <c r="D45" s="26">
        <f>ROUND(MAX(0,IFERROR(INDEX(LIQUIDACION_110!$D:$D,MATCH(58,LIQUIDACION_110!$A:$A,0)),0)-IFERROR(INDEX(LIQUIDACION_110!$D:$D,MATCH(59,LIQUIDACION_110!$A:$A,0)),0)-IFERROR(INDEX(LIQUIDACION_110!$D:$D,MATCH(60,LIQUIDACION_110!$A:$A,0)),0)),0)</f>
        <v/>
      </c>
      <c r="E45" s="25" t="inlineStr">
        <is>
          <t>58 - 59 - 60</t>
        </is>
      </c>
      <c r="F45" s="25" t="inlineStr">
        <is>
          <t>Cálculo</t>
        </is>
      </c>
      <c r="G45" s="25" t="inlineStr">
        <is>
          <t>Total</t>
        </is>
      </c>
      <c r="H45" s="25" t="inlineStr"/>
    </row>
    <row r="46">
      <c r="A46" s="8" t="n">
        <v>62</v>
      </c>
      <c r="B46" s="8" t="inlineStr">
        <is>
          <t>Costos y deducciones</t>
        </is>
      </c>
      <c r="C46" s="10" t="inlineStr">
        <is>
          <t>Costos</t>
        </is>
      </c>
      <c r="D46" s="23">
        <f>ROUND(MAX(0,N(INPUTS_110!$D$47)),0)</f>
        <v/>
      </c>
      <c r="E46" s="10" t="inlineStr">
        <is>
          <t>Input</t>
        </is>
      </c>
      <c r="F46" s="10" t="inlineStr">
        <is>
          <t>INPUTS_110</t>
        </is>
      </c>
      <c r="G46" s="10" t="inlineStr">
        <is>
          <t>Moneda</t>
        </is>
      </c>
      <c r="H46" s="10" t="inlineStr"/>
    </row>
    <row r="47">
      <c r="A47" s="8" t="n">
        <v>63</v>
      </c>
      <c r="B47" s="8" t="inlineStr">
        <is>
          <t>Costos y deducciones</t>
        </is>
      </c>
      <c r="C47" s="10" t="inlineStr">
        <is>
          <t>Gastos de administración</t>
        </is>
      </c>
      <c r="D47" s="23">
        <f>ROUND(MAX(0,N(INPUTS_110!$D$48)),0)</f>
        <v/>
      </c>
      <c r="E47" s="10" t="inlineStr">
        <is>
          <t>Input</t>
        </is>
      </c>
      <c r="F47" s="10" t="inlineStr">
        <is>
          <t>INPUTS_110</t>
        </is>
      </c>
      <c r="G47" s="10" t="inlineStr">
        <is>
          <t>Moneda</t>
        </is>
      </c>
      <c r="H47" s="10" t="inlineStr"/>
    </row>
    <row r="48">
      <c r="A48" s="8" t="n">
        <v>64</v>
      </c>
      <c r="B48" s="8" t="inlineStr">
        <is>
          <t>Costos y deducciones</t>
        </is>
      </c>
      <c r="C48" s="10" t="inlineStr">
        <is>
          <t>Gastos de distribución y ventas</t>
        </is>
      </c>
      <c r="D48" s="23">
        <f>ROUND(MAX(0,N(INPUTS_110!$D$49)),0)</f>
        <v/>
      </c>
      <c r="E48" s="10" t="inlineStr">
        <is>
          <t>Input</t>
        </is>
      </c>
      <c r="F48" s="10" t="inlineStr">
        <is>
          <t>INPUTS_110</t>
        </is>
      </c>
      <c r="G48" s="10" t="inlineStr">
        <is>
          <t>Moneda</t>
        </is>
      </c>
      <c r="H48" s="10" t="inlineStr"/>
    </row>
    <row r="49">
      <c r="A49" s="8" t="n">
        <v>65</v>
      </c>
      <c r="B49" s="8" t="inlineStr">
        <is>
          <t>Costos y deducciones</t>
        </is>
      </c>
      <c r="C49" s="10" t="inlineStr">
        <is>
          <t>Gastos financieros</t>
        </is>
      </c>
      <c r="D49" s="23">
        <f>ROUND(MAX(0,N(INPUTS_110!$D$50)),0)</f>
        <v/>
      </c>
      <c r="E49" s="10" t="inlineStr">
        <is>
          <t>Input</t>
        </is>
      </c>
      <c r="F49" s="10" t="inlineStr">
        <is>
          <t>INPUTS_110</t>
        </is>
      </c>
      <c r="G49" s="10" t="inlineStr">
        <is>
          <t>Moneda</t>
        </is>
      </c>
      <c r="H49" s="10" t="inlineStr"/>
    </row>
    <row r="50">
      <c r="A50" s="8" t="n">
        <v>66</v>
      </c>
      <c r="B50" s="8" t="inlineStr">
        <is>
          <t>Costos y deducciones</t>
        </is>
      </c>
      <c r="C50" s="10" t="inlineStr">
        <is>
          <t>Otros gastos y deducciones</t>
        </is>
      </c>
      <c r="D50" s="23">
        <f>ROUND(MAX(0,N(INPUTS_110!$D$51)),0)</f>
        <v/>
      </c>
      <c r="E50" s="10" t="inlineStr">
        <is>
          <t>Input</t>
        </is>
      </c>
      <c r="F50" s="10" t="inlineStr">
        <is>
          <t>INPUTS_110</t>
        </is>
      </c>
      <c r="G50" s="10" t="inlineStr">
        <is>
          <t>Moneda</t>
        </is>
      </c>
      <c r="H50" s="10" t="inlineStr"/>
    </row>
    <row r="51">
      <c r="A51" s="24" t="n">
        <v>67</v>
      </c>
      <c r="B51" s="24" t="inlineStr">
        <is>
          <t>Costos y deducciones</t>
        </is>
      </c>
      <c r="C51" s="25" t="inlineStr">
        <is>
          <t>Total costos y gastos deducibles</t>
        </is>
      </c>
      <c r="D51" s="26">
        <f>ROUND(SUM(IFERROR(INDEX(LIQUIDACION_110!$D:$D,MATCH(62,LIQUIDACION_110!$A:$A,0)),0),IFERROR(INDEX(LIQUIDACION_110!$D:$D,MATCH(63,LIQUIDACION_110!$A:$A,0)),0),IFERROR(INDEX(LIQUIDACION_110!$D:$D,MATCH(64,LIQUIDACION_110!$A:$A,0)),0),IFERROR(INDEX(LIQUIDACION_110!$D:$D,MATCH(65,LIQUIDACION_110!$A:$A,0)),0),IFERROR(INDEX(LIQUIDACION_110!$D:$D,MATCH(66,LIQUIDACION_110!$A:$A,0)),0)),0)</f>
        <v/>
      </c>
      <c r="E51" s="25" t="inlineStr">
        <is>
          <t>62 a 66</t>
        </is>
      </c>
      <c r="F51" s="25" t="inlineStr">
        <is>
          <t>Cálculo</t>
        </is>
      </c>
      <c r="G51" s="25" t="inlineStr">
        <is>
          <t>Total</t>
        </is>
      </c>
      <c r="H51" s="25" t="inlineStr"/>
    </row>
    <row r="52">
      <c r="A52" s="8" t="n">
        <v>68</v>
      </c>
      <c r="B52" s="8" t="inlineStr">
        <is>
          <t>Costos y deducciones</t>
        </is>
      </c>
      <c r="C52" s="10" t="inlineStr">
        <is>
          <t>Inversiones efectuadas en el año (RTE)</t>
        </is>
      </c>
      <c r="D52" s="23">
        <f>IF(PERFIL_TRIBUTARIO!$B$5="RTE_20",ROUND(MAX(0,N(INPUTS_110!$D$52)),0),0)</f>
        <v/>
      </c>
      <c r="E52" s="10" t="inlineStr">
        <is>
          <t>Sólo RTE</t>
        </is>
      </c>
      <c r="F52" s="10" t="inlineStr">
        <is>
          <t>INPUTS_110</t>
        </is>
      </c>
      <c r="G52" s="10" t="inlineStr">
        <is>
          <t>Moneda</t>
        </is>
      </c>
      <c r="H52" s="10" t="inlineStr"/>
    </row>
    <row r="53">
      <c r="A53" s="8" t="n">
        <v>69</v>
      </c>
      <c r="B53" s="8" t="inlineStr">
        <is>
          <t>Costos y deducciones</t>
        </is>
      </c>
      <c r="C53" s="10" t="inlineStr">
        <is>
          <t>Inversiones liquidadas de períodos anteriores (RTE)</t>
        </is>
      </c>
      <c r="D53" s="23">
        <f>IF(PERFIL_TRIBUTARIO!$B$5="RTE_20",ROUND(MAX(0,N(INPUTS_110!$D$53)),0),0)</f>
        <v/>
      </c>
      <c r="E53" s="10" t="inlineStr">
        <is>
          <t>Sólo RTE</t>
        </is>
      </c>
      <c r="F53" s="10" t="inlineStr">
        <is>
          <t>INPUTS_110</t>
        </is>
      </c>
      <c r="G53" s="10" t="inlineStr">
        <is>
          <t>Moneda</t>
        </is>
      </c>
      <c r="H53" s="10" t="inlineStr"/>
    </row>
    <row r="54">
      <c r="A54" s="8" t="n">
        <v>70</v>
      </c>
      <c r="B54" s="8" t="inlineStr">
        <is>
          <t>Renta</t>
        </is>
      </c>
      <c r="C54" s="10" t="inlineStr">
        <is>
          <t>Renta por recuperación de deducciones</t>
        </is>
      </c>
      <c r="D54" s="23">
        <f>ROUND(MAX(0,N(INPUTS_110!$D$55)),0)</f>
        <v/>
      </c>
      <c r="E54" s="10" t="inlineStr">
        <is>
          <t>Input</t>
        </is>
      </c>
      <c r="F54" s="10" t="inlineStr">
        <is>
          <t>INPUTS_110</t>
        </is>
      </c>
      <c r="G54" s="10" t="inlineStr">
        <is>
          <t>Moneda</t>
        </is>
      </c>
      <c r="H54" s="10" t="inlineStr"/>
    </row>
    <row r="55">
      <c r="A55" s="8" t="n">
        <v>71</v>
      </c>
      <c r="B55" s="8" t="inlineStr">
        <is>
          <t>Renta</t>
        </is>
      </c>
      <c r="C55" s="10" t="inlineStr">
        <is>
          <t>Renta pasiva ECE sin residencia fiscal en Colombia</t>
        </is>
      </c>
      <c r="D55" s="23">
        <f>ROUND(MAX(0,N(INPUTS_110!$D$56)),0)</f>
        <v/>
      </c>
      <c r="E55" s="10" t="inlineStr">
        <is>
          <t>Input</t>
        </is>
      </c>
      <c r="F55" s="10" t="inlineStr">
        <is>
          <t>INPUTS_110</t>
        </is>
      </c>
      <c r="G55" s="10" t="inlineStr">
        <is>
          <t>Moneda</t>
        </is>
      </c>
      <c r="H55" s="10" t="inlineStr"/>
    </row>
    <row r="56">
      <c r="A56" s="24" t="n">
        <v>72</v>
      </c>
      <c r="B56" s="24" t="inlineStr">
        <is>
          <t>Renta</t>
        </is>
      </c>
      <c r="C56" s="25" t="inlineStr">
        <is>
          <t>Renta líquida ordinaria del ejercicio</t>
        </is>
      </c>
      <c r="D56" s="26">
        <f>ROUND(MAX(0,IFERROR(INDEX(LIQUIDACION_110!$D:$D,MATCH(61,LIQUIDACION_110!$A:$A,0)),0)+IFERROR(INDEX(LIQUIDACION_110!$D:$D,MATCH(69,LIQUIDACION_110!$A:$A,0)),0)+IFERROR(INDEX(LIQUIDACION_110!$D:$D,MATCH(70,LIQUIDACION_110!$A:$A,0)),0)+IFERROR(INDEX(LIQUIDACION_110!$D:$D,MATCH(71,LIQUIDACION_110!$A:$A,0)),0)-IFERROR(INDEX(LIQUIDACION_110!$D:$D,MATCH(52,LIQUIDACION_110!$A:$A,0)),0)-IFERROR(INDEX(LIQUIDACION_110!$D:$D,MATCH(53,LIQUIDACION_110!$A:$A,0)),0)-IFERROR(INDEX(LIQUIDACION_110!$D:$D,MATCH(54,LIQUIDACION_110!$A:$A,0)),0)-IFERROR(INDEX(LIQUIDACION_110!$D:$D,MATCH(55,LIQUIDACION_110!$A:$A,0)),0)-IFERROR(INDEX(LIQUIDACION_110!$D:$D,MATCH(56,LIQUIDACION_110!$A:$A,0)),0)-IFERROR(INDEX(LIQUIDACION_110!$D:$D,MATCH(67,LIQUIDACION_110!$A:$A,0)),0)-IFERROR(INDEX(LIQUIDACION_110!$D:$D,MATCH(68,LIQUIDACION_110!$A:$A,0)),0)),0)</f>
        <v/>
      </c>
      <c r="E56" s="25" t="inlineStr">
        <is>
          <t>61 + 69 + 70 + 71 - 52 - 53 - 54 - 55 - 56 - 67 - 68</t>
        </is>
      </c>
      <c r="F56" s="25" t="inlineStr">
        <is>
          <t>Cálculo</t>
        </is>
      </c>
      <c r="G56" s="25" t="inlineStr">
        <is>
          <t>Total</t>
        </is>
      </c>
      <c r="H56" s="25" t="inlineStr"/>
    </row>
    <row r="57">
      <c r="A57" s="24" t="n">
        <v>73</v>
      </c>
      <c r="B57" s="24" t="inlineStr">
        <is>
          <t>Renta</t>
        </is>
      </c>
      <c r="C57" s="25" t="inlineStr">
        <is>
          <t>Pérdida líquida del ejercicio</t>
        </is>
      </c>
      <c r="D57" s="26">
        <f>ROUND(MAX(0,IFERROR(INDEX(LIQUIDACION_110!$D:$D,MATCH(52,LIQUIDACION_110!$A:$A,0)),0)+IFERROR(INDEX(LIQUIDACION_110!$D:$D,MATCH(53,LIQUIDACION_110!$A:$A,0)),0)+IFERROR(INDEX(LIQUIDACION_110!$D:$D,MATCH(54,LIQUIDACION_110!$A:$A,0)),0)+IFERROR(INDEX(LIQUIDACION_110!$D:$D,MATCH(55,LIQUIDACION_110!$A:$A,0)),0)+IFERROR(INDEX(LIQUIDACION_110!$D:$D,MATCH(56,LIQUIDACION_110!$A:$A,0)),0)+IFERROR(INDEX(LIQUIDACION_110!$D:$D,MATCH(67,LIQUIDACION_110!$A:$A,0)),0)+IFERROR(INDEX(LIQUIDACION_110!$D:$D,MATCH(68,LIQUIDACION_110!$A:$A,0)),0)-IFERROR(INDEX(LIQUIDACION_110!$D:$D,MATCH(61,LIQUIDACION_110!$A:$A,0)),0)-IFERROR(INDEX(LIQUIDACION_110!$D:$D,MATCH(69,LIQUIDACION_110!$A:$A,0)),0)-IFERROR(INDEX(LIQUIDACION_110!$D:$D,MATCH(70,LIQUIDACION_110!$A:$A,0)),0)-IFERROR(INDEX(LIQUIDACION_110!$D:$D,MATCH(71,LIQUIDACION_110!$A:$A,0)),0)),0)</f>
        <v/>
      </c>
      <c r="E57" s="25" t="inlineStr">
        <is>
          <t>Fórmula DIAN inversa de 72</t>
        </is>
      </c>
      <c r="F57" s="25" t="inlineStr">
        <is>
          <t>Cálculo</t>
        </is>
      </c>
      <c r="G57" s="25" t="inlineStr">
        <is>
          <t>Total</t>
        </is>
      </c>
      <c r="H57" s="25" t="inlineStr"/>
    </row>
    <row r="58">
      <c r="A58" s="8" t="n">
        <v>74</v>
      </c>
      <c r="B58" s="8" t="inlineStr">
        <is>
          <t>Renta</t>
        </is>
      </c>
      <c r="C58" s="10" t="inlineStr">
        <is>
          <t>Compensaciones</t>
        </is>
      </c>
      <c r="D58" s="23">
        <f>ROUND(MIN(MAX(0,N(INPUTS_110!$D$57)),IFERROR(INDEX(LIQUIDACION_110!$D:$D,MATCH(72,LIQUIDACION_110!$A:$A,0)),0)),0)</f>
        <v/>
      </c>
      <c r="E58" s="10" t="inlineStr">
        <is>
          <t>No supera 72</t>
        </is>
      </c>
      <c r="F58" s="10" t="inlineStr">
        <is>
          <t>INPUTS_110</t>
        </is>
      </c>
      <c r="G58" s="10" t="inlineStr">
        <is>
          <t>Moneda</t>
        </is>
      </c>
      <c r="H58" s="10" t="inlineStr"/>
    </row>
    <row r="59">
      <c r="A59" s="24" t="n">
        <v>75</v>
      </c>
      <c r="B59" s="24" t="inlineStr">
        <is>
          <t>Renta</t>
        </is>
      </c>
      <c r="C59" s="25" t="inlineStr">
        <is>
          <t>Renta líquida</t>
        </is>
      </c>
      <c r="D59" s="26">
        <f>ROUND(MAX(0,IFERROR(INDEX(LIQUIDACION_110!$D:$D,MATCH(72,LIQUIDACION_110!$A:$A,0)),0)-IFERROR(INDEX(LIQUIDACION_110!$D:$D,MATCH(74,LIQUIDACION_110!$A:$A,0)),0)),0)</f>
        <v/>
      </c>
      <c r="E59" s="25" t="inlineStr">
        <is>
          <t>72 - 74</t>
        </is>
      </c>
      <c r="F59" s="25" t="inlineStr">
        <is>
          <t>Cálculo</t>
        </is>
      </c>
      <c r="G59" s="25" t="inlineStr">
        <is>
          <t>Total</t>
        </is>
      </c>
      <c r="H59" s="25" t="inlineStr"/>
    </row>
    <row r="60">
      <c r="A60" s="8" t="n">
        <v>76</v>
      </c>
      <c r="B60" s="8" t="inlineStr">
        <is>
          <t>Renta</t>
        </is>
      </c>
      <c r="C60" s="10" t="inlineStr">
        <is>
          <t>Renta presuntiva</t>
        </is>
      </c>
      <c r="D60" s="23">
        <f>ROUND(MAX(0,N(INPUTS_110!$D$58)),0)</f>
        <v/>
      </c>
      <c r="E60" s="10" t="inlineStr">
        <is>
          <t>Input técnico</t>
        </is>
      </c>
      <c r="F60" s="10" t="inlineStr">
        <is>
          <t>INPUTS_110</t>
        </is>
      </c>
      <c r="G60" s="10" t="inlineStr">
        <is>
          <t>Moneda</t>
        </is>
      </c>
      <c r="H60" s="10" t="inlineStr">
        <is>
          <t>AG 2025 requiere soporte técnico si hay valor.</t>
        </is>
      </c>
    </row>
    <row r="61">
      <c r="A61" s="8" t="n">
        <v>77</v>
      </c>
      <c r="B61" s="8" t="inlineStr">
        <is>
          <t>Renta</t>
        </is>
      </c>
      <c r="C61" s="10" t="inlineStr">
        <is>
          <t>Renta exenta</t>
        </is>
      </c>
      <c r="D61" s="23">
        <f>ROUND(MIN(MAX(0,N(INPUTS_110!$D$59)),MAX(IFERROR(INDEX(LIQUIDACION_110!$D:$D,MATCH(75,LIQUIDACION_110!$A:$A,0)),0),IFERROR(INDEX(LIQUIDACION_110!$D:$D,MATCH(76,LIQUIDACION_110!$A:$A,0)),0))),0)</f>
        <v/>
      </c>
      <c r="E61" s="10" t="inlineStr">
        <is>
          <t>No supera max(75,76)</t>
        </is>
      </c>
      <c r="F61" s="10" t="inlineStr">
        <is>
          <t>INPUTS_110</t>
        </is>
      </c>
      <c r="G61" s="10" t="inlineStr">
        <is>
          <t>Moneda</t>
        </is>
      </c>
      <c r="H61" s="10" t="inlineStr"/>
    </row>
    <row r="62">
      <c r="A62" s="8" t="n">
        <v>78</v>
      </c>
      <c r="B62" s="8" t="inlineStr">
        <is>
          <t>Renta</t>
        </is>
      </c>
      <c r="C62" s="10" t="inlineStr">
        <is>
          <t>Rentas gravables</t>
        </is>
      </c>
      <c r="D62" s="23">
        <f>ROUND(MAX(0,N(INPUTS_110!$D$60)),0)</f>
        <v/>
      </c>
      <c r="E62" s="10" t="inlineStr">
        <is>
          <t>Input</t>
        </is>
      </c>
      <c r="F62" s="10" t="inlineStr">
        <is>
          <t>INPUTS_110</t>
        </is>
      </c>
      <c r="G62" s="10" t="inlineStr">
        <is>
          <t>Moneda</t>
        </is>
      </c>
      <c r="H62" s="10" t="inlineStr"/>
    </row>
    <row r="63">
      <c r="A63" s="24" t="n">
        <v>79</v>
      </c>
      <c r="B63" s="24" t="inlineStr">
        <is>
          <t>Renta</t>
        </is>
      </c>
      <c r="C63" s="25" t="inlineStr">
        <is>
          <t>Renta líquida gravable</t>
        </is>
      </c>
      <c r="D63" s="26">
        <f>ROUND(MAX(0,MAX(IFERROR(INDEX(LIQUIDACION_110!$D:$D,MATCH(75,LIQUIDACION_110!$A:$A,0)),0),IFERROR(INDEX(LIQUIDACION_110!$D:$D,MATCH(76,LIQUIDACION_110!$A:$A,0)),0))-IFERROR(INDEX(LIQUIDACION_110!$D:$D,MATCH(77,LIQUIDACION_110!$A:$A,0)),0)+IFERROR(INDEX(LIQUIDACION_110!$D:$D,MATCH(78,LIQUIDACION_110!$A:$A,0)),0)),0)</f>
        <v/>
      </c>
      <c r="E63" s="25" t="inlineStr">
        <is>
          <t>Mayor entre 75 y 76, menos 77, más 78</t>
        </is>
      </c>
      <c r="F63" s="25" t="inlineStr">
        <is>
          <t>Cálculo</t>
        </is>
      </c>
      <c r="G63" s="25" t="inlineStr">
        <is>
          <t>Total</t>
        </is>
      </c>
      <c r="H63" s="25" t="inlineStr"/>
    </row>
    <row r="64">
      <c r="A64" s="8" t="n">
        <v>80</v>
      </c>
      <c r="B64" s="8" t="inlineStr">
        <is>
          <t>GO</t>
        </is>
      </c>
      <c r="C64" s="10" t="inlineStr">
        <is>
          <t>Ingresos por ganancias ocasionales</t>
        </is>
      </c>
      <c r="D64" s="23">
        <f>ROUND(MAX(0,N(INPUTS_110!$D$62)),0)</f>
        <v/>
      </c>
      <c r="E64" s="10" t="inlineStr">
        <is>
          <t>Input</t>
        </is>
      </c>
      <c r="F64" s="10" t="inlineStr">
        <is>
          <t>INPUTS_110</t>
        </is>
      </c>
      <c r="G64" s="10" t="inlineStr">
        <is>
          <t>Moneda</t>
        </is>
      </c>
      <c r="H64" s="10" t="inlineStr"/>
    </row>
    <row r="65">
      <c r="A65" s="8" t="n">
        <v>81</v>
      </c>
      <c r="B65" s="8" t="inlineStr">
        <is>
          <t>GO</t>
        </is>
      </c>
      <c r="C65" s="10" t="inlineStr">
        <is>
          <t>Costos por ganancias ocasionales</t>
        </is>
      </c>
      <c r="D65" s="23">
        <f>ROUND(MAX(0,N(INPUTS_110!$D$63)),0)</f>
        <v/>
      </c>
      <c r="E65" s="10" t="inlineStr">
        <is>
          <t>Input</t>
        </is>
      </c>
      <c r="F65" s="10" t="inlineStr">
        <is>
          <t>INPUTS_110</t>
        </is>
      </c>
      <c r="G65" s="10" t="inlineStr">
        <is>
          <t>Moneda</t>
        </is>
      </c>
      <c r="H65" s="10" t="inlineStr"/>
    </row>
    <row r="66">
      <c r="A66" s="8" t="n">
        <v>82</v>
      </c>
      <c r="B66" s="8" t="inlineStr">
        <is>
          <t>GO</t>
        </is>
      </c>
      <c r="C66" s="10" t="inlineStr">
        <is>
          <t>Ganancias ocasionales no gravadas y exentas</t>
        </is>
      </c>
      <c r="D66" s="23">
        <f>ROUND(MIN(MAX(0,N(INPUTS_110!$D$64)),MAX(0,IFERROR(INDEX(LIQUIDACION_110!$D:$D,MATCH(80,LIQUIDACION_110!$A:$A,0)),0)-IFERROR(INDEX(LIQUIDACION_110!$D:$D,MATCH(81,LIQUIDACION_110!$A:$A,0)),0))),0)</f>
        <v/>
      </c>
      <c r="E66" s="10" t="inlineStr">
        <is>
          <t>No supera 80 - 81</t>
        </is>
      </c>
      <c r="F66" s="10" t="inlineStr">
        <is>
          <t>INPUTS_110</t>
        </is>
      </c>
      <c r="G66" s="10" t="inlineStr">
        <is>
          <t>Moneda</t>
        </is>
      </c>
      <c r="H66" s="10" t="inlineStr"/>
    </row>
    <row r="67">
      <c r="A67" s="24" t="n">
        <v>83</v>
      </c>
      <c r="B67" s="24" t="inlineStr">
        <is>
          <t>GO</t>
        </is>
      </c>
      <c r="C67" s="25" t="inlineStr">
        <is>
          <t>Ganancias ocasionales gravables</t>
        </is>
      </c>
      <c r="D67" s="26">
        <f>ROUND(MAX(0,IFERROR(INDEX(LIQUIDACION_110!$D:$D,MATCH(80,LIQUIDACION_110!$A:$A,0)),0)-IFERROR(INDEX(LIQUIDACION_110!$D:$D,MATCH(81,LIQUIDACION_110!$A:$A,0)),0)-IFERROR(INDEX(LIQUIDACION_110!$D:$D,MATCH(82,LIQUIDACION_110!$A:$A,0)),0)),0)</f>
        <v/>
      </c>
      <c r="E67" s="25" t="inlineStr">
        <is>
          <t>80 - 81 - 82</t>
        </is>
      </c>
      <c r="F67" s="25" t="inlineStr">
        <is>
          <t>Cálculo</t>
        </is>
      </c>
      <c r="G67" s="25" t="inlineStr">
        <is>
          <t>Total</t>
        </is>
      </c>
      <c r="H67" s="25" t="inlineStr"/>
    </row>
    <row r="68">
      <c r="A68" s="8" t="n">
        <v>84</v>
      </c>
      <c r="B68" s="8" t="inlineStr">
        <is>
          <t>Impuesto</t>
        </is>
      </c>
      <c r="C68" s="10" t="inlineStr">
        <is>
          <t>Sobre la renta líquida gravable</t>
        </is>
      </c>
      <c r="D68" s="23">
        <f>ROUND(IF(PERFIL_TRIBUTARIO!$B$7&gt;0,PERFIL_TRIBUTARIO!$B$7,IF(PERFIL_TRIBUTARIO!$B$6="Si",PERFIL_TRIBUTARIO!$E$14,MAX(0,IFERROR(INDEX(LIQUIDACION_110!$D:$D,MATCH(79,LIQUIDACION_110!$A:$A,0)),0))*PERFIL_TRIBUTARIO!$B$8)),0)</f>
        <v/>
      </c>
      <c r="E68" s="10" t="inlineStr">
        <is>
          <t>Tarifa según perfil o puente</t>
        </is>
      </c>
      <c r="F68" s="10" t="inlineStr">
        <is>
          <t>PERFIL_TRIBUTARIO</t>
        </is>
      </c>
      <c r="G68" s="10" t="inlineStr">
        <is>
          <t>Moneda</t>
        </is>
      </c>
      <c r="H68" s="10" t="inlineStr"/>
    </row>
    <row r="69">
      <c r="A69" s="8" t="n">
        <v>85</v>
      </c>
      <c r="B69" s="8" t="inlineStr">
        <is>
          <t>Impuesto</t>
        </is>
      </c>
      <c r="C69" s="10" t="inlineStr">
        <is>
          <t>Puntos adicionales a la tarifa del impuesto renta</t>
        </is>
      </c>
      <c r="D69" s="23">
        <f>ROUND(MAX(0,IFERROR(INDEX(LIQUIDACION_110!$D:$D,MATCH(79,LIQUIDACION_110!$A:$A,0)),0)*PERFIL_TRIBUTARIO!$B$10),0)</f>
        <v/>
      </c>
      <c r="E69" s="10" t="inlineStr">
        <is>
          <t>79 * tasa adicional manual</t>
        </is>
      </c>
      <c r="F69" s="10" t="inlineStr">
        <is>
          <t>PERFIL_TRIBUTARIO</t>
        </is>
      </c>
      <c r="G69" s="10" t="inlineStr">
        <is>
          <t>Moneda</t>
        </is>
      </c>
      <c r="H69" s="10" t="inlineStr"/>
    </row>
    <row r="70">
      <c r="A70" s="8" t="n">
        <v>86</v>
      </c>
      <c r="B70" s="8" t="inlineStr">
        <is>
          <t>Impuesto</t>
        </is>
      </c>
      <c r="C70" s="10" t="inlineStr">
        <is>
          <t>Impuesto sobre dividendos base casilla 54</t>
        </is>
      </c>
      <c r="D70" s="23">
        <f>ROUND(MAX(0,IFERROR(INDEX(LIQUIDACION_110!$D:$D,MATCH(54,LIQUIDACION_110!$A:$A,0)),0)*PARAMS!$B$7),0)</f>
        <v/>
      </c>
      <c r="E70" s="10" t="inlineStr">
        <is>
          <t>54 * tarifa arts. 245/246</t>
        </is>
      </c>
      <c r="F70" s="10" t="inlineStr">
        <is>
          <t>PARAMS</t>
        </is>
      </c>
      <c r="G70" s="10" t="inlineStr">
        <is>
          <t>Moneda</t>
        </is>
      </c>
      <c r="H70" s="10" t="inlineStr"/>
    </row>
    <row r="71">
      <c r="A71" s="8" t="n">
        <v>87</v>
      </c>
      <c r="B71" s="8" t="inlineStr">
        <is>
          <t>Impuesto</t>
        </is>
      </c>
      <c r="C71" s="10" t="inlineStr">
        <is>
          <t>Impuesto sobre dividendos base casilla 55</t>
        </is>
      </c>
      <c r="D71" s="23">
        <f>ROUND(MAX(0,IFERROR(INDEX(LIQUIDACION_110!$D:$D,MATCH(55,LIQUIDACION_110!$A:$A,0)),0)*(PARAMS!$B$6+(1-PARAMS!$B$6)*PARAMS!$B$7)),0)</f>
        <v/>
      </c>
      <c r="E71" s="10" t="inlineStr">
        <is>
          <t>55 * [art. 240 + dividendos sobre remanente]</t>
        </is>
      </c>
      <c r="F71" s="10" t="inlineStr">
        <is>
          <t>PARAMS</t>
        </is>
      </c>
      <c r="G71" s="10" t="inlineStr">
        <is>
          <t>Moneda</t>
        </is>
      </c>
      <c r="H71" s="10" t="inlineStr"/>
    </row>
    <row r="72">
      <c r="A72" s="8" t="n">
        <v>88</v>
      </c>
      <c r="B72" s="8" t="inlineStr">
        <is>
          <t>Impuesto</t>
        </is>
      </c>
      <c r="C72" s="10" t="inlineStr">
        <is>
          <t>Impuesto sobre dividendos base casilla 56</t>
        </is>
      </c>
      <c r="D72" s="23">
        <f>ROUND(MAX(0,IFERROR(INDEX(LIQUIDACION_110!$D:$D,MATCH(56,LIQUIDACION_110!$A:$A,0)),0)*PARAMS!$B$9),0)</f>
        <v/>
      </c>
      <c r="E72" s="10" t="inlineStr">
        <is>
          <t>56 * 27%</t>
        </is>
      </c>
      <c r="F72" s="10" t="inlineStr">
        <is>
          <t>PARAMS</t>
        </is>
      </c>
      <c r="G72" s="10" t="inlineStr">
        <is>
          <t>Moneda</t>
        </is>
      </c>
      <c r="H72" s="10" t="inlineStr"/>
    </row>
    <row r="73">
      <c r="A73" s="8" t="n">
        <v>89</v>
      </c>
      <c r="B73" s="8" t="inlineStr">
        <is>
          <t>Impuesto</t>
        </is>
      </c>
      <c r="C73" s="10" t="inlineStr">
        <is>
          <t>Impuesto sobre dividendos base casilla 53</t>
        </is>
      </c>
      <c r="D73" s="23">
        <f>ROUND(MAX(0,IFERROR(INDEX(LIQUIDACION_110!$D:$D,MATCH(53,LIQUIDACION_110!$A:$A,0)),0)*(PARAMS!$B$6+(1-PARAMS!$B$6)*PARAMS!$B$7)),0)</f>
        <v/>
      </c>
      <c r="E73" s="10" t="inlineStr">
        <is>
          <t>53 * [art. 240 + dividendos sobre remanente]</t>
        </is>
      </c>
      <c r="F73" s="10" t="inlineStr">
        <is>
          <t>PARAMS</t>
        </is>
      </c>
      <c r="G73" s="10" t="inlineStr">
        <is>
          <t>Moneda</t>
        </is>
      </c>
      <c r="H73" s="10" t="inlineStr"/>
    </row>
    <row r="74">
      <c r="A74" s="8" t="n">
        <v>90</v>
      </c>
      <c r="B74" s="8" t="inlineStr">
        <is>
          <t>Impuesto</t>
        </is>
      </c>
      <c r="C74" s="10" t="inlineStr">
        <is>
          <t>Impuesto sobre dividendos base casilla 52</t>
        </is>
      </c>
      <c r="D74" s="23">
        <f>ROUND(MAX(0,IFERROR(INDEX(LIQUIDACION_110!$D:$D,MATCH(52,LIQUIDACION_110!$A:$A,0)),0)*PARAMS!$B$8),0)</f>
        <v/>
      </c>
      <c r="E74" s="10" t="inlineStr">
        <is>
          <t>52 * 33%</t>
        </is>
      </c>
      <c r="F74" s="10" t="inlineStr">
        <is>
          <t>PARAMS</t>
        </is>
      </c>
      <c r="G74" s="10" t="inlineStr">
        <is>
          <t>Moneda</t>
        </is>
      </c>
      <c r="H74" s="10" t="inlineStr"/>
    </row>
    <row r="75">
      <c r="A75" s="24" t="n">
        <v>91</v>
      </c>
      <c r="B75" s="24" t="inlineStr">
        <is>
          <t>Impuesto</t>
        </is>
      </c>
      <c r="C75" s="25" t="inlineStr">
        <is>
          <t>Total impuesto sobre las rentas líquidas gravables</t>
        </is>
      </c>
      <c r="D75" s="26">
        <f>ROUND(SUM(IFERROR(INDEX(LIQUIDACION_110!$D:$D,MATCH(84,LIQUIDACION_110!$A:$A,0)),0),IFERROR(INDEX(LIQUIDACION_110!$D:$D,MATCH(85,LIQUIDACION_110!$A:$A,0)),0),IFERROR(INDEX(LIQUIDACION_110!$D:$D,MATCH(86,LIQUIDACION_110!$A:$A,0)),0),IFERROR(INDEX(LIQUIDACION_110!$D:$D,MATCH(87,LIQUIDACION_110!$A:$A,0)),0),IFERROR(INDEX(LIQUIDACION_110!$D:$D,MATCH(88,LIQUIDACION_110!$A:$A,0)),0),IFERROR(INDEX(LIQUIDACION_110!$D:$D,MATCH(89,LIQUIDACION_110!$A:$A,0)),0),IFERROR(INDEX(LIQUIDACION_110!$D:$D,MATCH(90,LIQUIDACION_110!$A:$A,0)),0)),0)</f>
        <v/>
      </c>
      <c r="E75" s="25" t="inlineStr">
        <is>
          <t>84 a 90</t>
        </is>
      </c>
      <c r="F75" s="25" t="inlineStr">
        <is>
          <t>Cálculo</t>
        </is>
      </c>
      <c r="G75" s="25" t="inlineStr">
        <is>
          <t>Total</t>
        </is>
      </c>
      <c r="H75" s="25" t="inlineStr"/>
    </row>
    <row r="76">
      <c r="A76" s="8" t="n">
        <v>92</v>
      </c>
      <c r="B76" s="8" t="inlineStr">
        <is>
          <t>Impuesto</t>
        </is>
      </c>
      <c r="C76" s="10" t="inlineStr">
        <is>
          <t>Valor a adicionar (VAA)</t>
        </is>
      </c>
      <c r="D76" s="23">
        <f>BENEFICIOS_Y_LIMITES!$D$47</f>
        <v/>
      </c>
      <c r="E76" s="10" t="inlineStr">
        <is>
          <t>Art. 259-1</t>
        </is>
      </c>
      <c r="F76" s="10" t="inlineStr">
        <is>
          <t>BENEFICIOS_Y_LIMITES</t>
        </is>
      </c>
      <c r="G76" s="10" t="inlineStr">
        <is>
          <t>Moneda</t>
        </is>
      </c>
      <c r="H76" s="10" t="inlineStr"/>
    </row>
    <row r="77">
      <c r="A77" s="8" t="n">
        <v>93</v>
      </c>
      <c r="B77" s="8" t="inlineStr">
        <is>
          <t>Impuesto</t>
        </is>
      </c>
      <c r="C77" s="10" t="inlineStr">
        <is>
          <t>Descuentos tributarios</t>
        </is>
      </c>
      <c r="D77" s="23">
        <f>BENEFICIOS_Y_LIMITES!$D$41</f>
        <v/>
      </c>
      <c r="E77" s="10" t="inlineStr">
        <is>
          <t>Descuentos permitidos</t>
        </is>
      </c>
      <c r="F77" s="10" t="inlineStr">
        <is>
          <t>BENEFICIOS_Y_LIMITES</t>
        </is>
      </c>
      <c r="G77" s="10" t="inlineStr">
        <is>
          <t>Moneda</t>
        </is>
      </c>
      <c r="H77" s="10" t="inlineStr"/>
    </row>
    <row r="78">
      <c r="A78" s="24" t="n">
        <v>94</v>
      </c>
      <c r="B78" s="24" t="inlineStr">
        <is>
          <t>Impuesto</t>
        </is>
      </c>
      <c r="C78" s="25" t="inlineStr">
        <is>
          <t>Impuesto neto de renta (sin impuesto adicionado)</t>
        </is>
      </c>
      <c r="D78" s="26">
        <f>ROUND(MAX(0,IFERROR(INDEX(LIQUIDACION_110!$D:$D,MATCH(91,LIQUIDACION_110!$A:$A,0)),0)+IFERROR(INDEX(LIQUIDACION_110!$D:$D,MATCH(92,LIQUIDACION_110!$A:$A,0)),0)-IFERROR(INDEX(LIQUIDACION_110!$D:$D,MATCH(93,LIQUIDACION_110!$A:$A,0)),0)),0)</f>
        <v/>
      </c>
      <c r="E78" s="25" t="inlineStr">
        <is>
          <t>91 + 92 - 93</t>
        </is>
      </c>
      <c r="F78" s="25" t="inlineStr">
        <is>
          <t>Cálculo</t>
        </is>
      </c>
      <c r="G78" s="25" t="inlineStr">
        <is>
          <t>Total</t>
        </is>
      </c>
      <c r="H78" s="25" t="inlineStr"/>
    </row>
    <row r="79">
      <c r="A79" s="8" t="n">
        <v>95</v>
      </c>
      <c r="B79" s="8" t="inlineStr">
        <is>
          <t>Impuesto</t>
        </is>
      </c>
      <c r="C79" s="10" t="inlineStr">
        <is>
          <t>Impuesto a adicionar (IA)</t>
        </is>
      </c>
      <c r="D79" s="23">
        <f>TASA_MINIMA_TTD!$B$24</f>
        <v/>
      </c>
      <c r="E79" s="10" t="inlineStr">
        <is>
          <t>Tasa mínima TTD</t>
        </is>
      </c>
      <c r="F79" s="10" t="inlineStr">
        <is>
          <t>TASA_MINIMA_TTD</t>
        </is>
      </c>
      <c r="G79" s="10" t="inlineStr">
        <is>
          <t>Moneda</t>
        </is>
      </c>
      <c r="H79" s="10" t="inlineStr"/>
    </row>
    <row r="80">
      <c r="A80" s="24" t="n">
        <v>96</v>
      </c>
      <c r="B80" s="24" t="inlineStr">
        <is>
          <t>Impuesto</t>
        </is>
      </c>
      <c r="C80" s="25" t="inlineStr">
        <is>
          <t>Impuesto neto de renta (con impuesto adicionado)</t>
        </is>
      </c>
      <c r="D80" s="26">
        <f>ROUND(IFERROR(INDEX(LIQUIDACION_110!$D:$D,MATCH(94,LIQUIDACION_110!$A:$A,0)),0)+IFERROR(INDEX(LIQUIDACION_110!$D:$D,MATCH(95,LIQUIDACION_110!$A:$A,0)),0),0)</f>
        <v/>
      </c>
      <c r="E80" s="25" t="inlineStr">
        <is>
          <t>94 + 95</t>
        </is>
      </c>
      <c r="F80" s="25" t="inlineStr">
        <is>
          <t>Cálculo</t>
        </is>
      </c>
      <c r="G80" s="25" t="inlineStr">
        <is>
          <t>Total</t>
        </is>
      </c>
      <c r="H80" s="25" t="inlineStr"/>
    </row>
    <row r="81">
      <c r="A81" s="8" t="n">
        <v>97</v>
      </c>
      <c r="B81" s="8" t="inlineStr">
        <is>
          <t>Impuesto</t>
        </is>
      </c>
      <c r="C81" s="10" t="inlineStr">
        <is>
          <t>Impuesto de ganancias ocasionales</t>
        </is>
      </c>
      <c r="D81" s="23">
        <f>ROUND(MAX(0,MIN(N(INPUTS_110!$D$65),IFERROR(INDEX(LIQUIDACION_110!$D:$D,MATCH(83,LIQUIDACION_110!$A:$A,0)),0))*PARAMS!$B$11 + MAX(0,IFERROR(INDEX(LIQUIDACION_110!$D:$D,MATCH(83,LIQUIDACION_110!$A:$A,0)),0)-MIN(N(INPUTS_110!$D$65),IFERROR(INDEX(LIQUIDACION_110!$D:$D,MATCH(83,LIQUIDACION_110!$A:$A,0)),0)))*PERFIL_TRIBUTARIO!$B$9),0)</f>
        <v/>
      </c>
      <c r="E81" s="10" t="inlineStr">
        <is>
          <t>GO loterías al 20% + resto a tarifa GO</t>
        </is>
      </c>
      <c r="F81" s="10" t="inlineStr">
        <is>
          <t>INPUTS_110 / PERFIL_TRIBUTARIO</t>
        </is>
      </c>
      <c r="G81" s="10" t="inlineStr">
        <is>
          <t>Moneda</t>
        </is>
      </c>
      <c r="H81" s="10" t="inlineStr"/>
    </row>
    <row r="82">
      <c r="A82" s="8" t="n">
        <v>98</v>
      </c>
      <c r="B82" s="8" t="inlineStr">
        <is>
          <t>Impuesto</t>
        </is>
      </c>
      <c r="C82" s="10" t="inlineStr">
        <is>
          <t>Descuento por impuestos pagados en el exterior por GO</t>
        </is>
      </c>
      <c r="D82" s="23">
        <f>ROUND(MAX(0,BENEFICIOS_Y_LIMITES!$D$27),0)</f>
        <v/>
      </c>
      <c r="E82" s="10" t="inlineStr">
        <is>
          <t>Art. 254 GO</t>
        </is>
      </c>
      <c r="F82" s="10" t="inlineStr">
        <is>
          <t>BENEFICIOS_Y_LIMITES</t>
        </is>
      </c>
      <c r="G82" s="10" t="inlineStr">
        <is>
          <t>Moneda</t>
        </is>
      </c>
      <c r="H82" s="10" t="inlineStr"/>
    </row>
    <row r="83">
      <c r="A83" s="24" t="n">
        <v>99</v>
      </c>
      <c r="B83" s="24" t="inlineStr">
        <is>
          <t>Impuesto</t>
        </is>
      </c>
      <c r="C83" s="25" t="inlineStr">
        <is>
          <t>Total impuesto a cargo</t>
        </is>
      </c>
      <c r="D83" s="26">
        <f>ROUND(MAX(0,IFERROR(INDEX(LIQUIDACION_110!$D:$D,MATCH(96,LIQUIDACION_110!$A:$A,0)),0)+IFERROR(INDEX(LIQUIDACION_110!$D:$D,MATCH(97,LIQUIDACION_110!$A:$A,0)),0)-IFERROR(INDEX(LIQUIDACION_110!$D:$D,MATCH(98,LIQUIDACION_110!$A:$A,0)),0)),0)</f>
        <v/>
      </c>
      <c r="E83" s="25" t="inlineStr">
        <is>
          <t>96 + 97 - 98</t>
        </is>
      </c>
      <c r="F83" s="25" t="inlineStr">
        <is>
          <t>Cálculo</t>
        </is>
      </c>
      <c r="G83" s="25" t="inlineStr">
        <is>
          <t>Total</t>
        </is>
      </c>
      <c r="H83" s="25" t="inlineStr"/>
    </row>
    <row r="84">
      <c r="A84" s="8" t="n">
        <v>100</v>
      </c>
      <c r="B84" s="8" t="inlineStr">
        <is>
          <t>Pagos</t>
        </is>
      </c>
      <c r="C84" s="10" t="inlineStr">
        <is>
          <t>Valor inversión obras por impuestos modalidad 1</t>
        </is>
      </c>
      <c r="D84" s="23">
        <f>ROUND(MAX(0,BENEFICIOS_Y_LIMITES!$D$49),0)</f>
        <v/>
      </c>
      <c r="E84" s="10" t="inlineStr">
        <is>
          <t>Hasta 50% de 99</t>
        </is>
      </c>
      <c r="F84" s="10" t="inlineStr">
        <is>
          <t>BENEFICIOS_Y_LIMITES</t>
        </is>
      </c>
      <c r="G84" s="10" t="inlineStr">
        <is>
          <t>Moneda</t>
        </is>
      </c>
      <c r="H84" s="10" t="inlineStr"/>
    </row>
    <row r="85">
      <c r="A85" s="8" t="n">
        <v>101</v>
      </c>
      <c r="B85" s="8" t="inlineStr">
        <is>
          <t>Pagos</t>
        </is>
      </c>
      <c r="C85" s="10" t="inlineStr">
        <is>
          <t>Descuento efectivo obras por impuestos modalidad 2</t>
        </is>
      </c>
      <c r="D85" s="23">
        <f>ROUND(MAX(0,BENEFICIOS_Y_LIMITES!$D$50),0)</f>
        <v/>
      </c>
      <c r="E85" s="10" t="inlineStr">
        <is>
          <t>Según aprobación</t>
        </is>
      </c>
      <c r="F85" s="10" t="inlineStr">
        <is>
          <t>BENEFICIOS_Y_LIMITES</t>
        </is>
      </c>
      <c r="G85" s="10" t="inlineStr">
        <is>
          <t>Moneda</t>
        </is>
      </c>
      <c r="H85" s="10" t="inlineStr"/>
    </row>
    <row r="86">
      <c r="A86" s="8" t="n">
        <v>102</v>
      </c>
      <c r="B86" s="8" t="inlineStr">
        <is>
          <t>Pagos</t>
        </is>
      </c>
      <c r="C86" s="10" t="inlineStr">
        <is>
          <t>Crédito fiscal artículo 256-1 E.T.</t>
        </is>
      </c>
      <c r="D86" s="23">
        <f>ROUND(MAX(0,BENEFICIOS_Y_LIMITES!$D$48),0)</f>
        <v/>
      </c>
      <c r="E86" s="10" t="inlineStr">
        <is>
          <t>Crédito fiscal certificado</t>
        </is>
      </c>
      <c r="F86" s="10" t="inlineStr">
        <is>
          <t>BENEFICIOS_Y_LIMITES</t>
        </is>
      </c>
      <c r="G86" s="10" t="inlineStr">
        <is>
          <t>Moneda</t>
        </is>
      </c>
      <c r="H86" s="10" t="inlineStr"/>
    </row>
    <row r="87">
      <c r="A87" s="8" t="n">
        <v>103</v>
      </c>
      <c r="B87" s="8" t="inlineStr">
        <is>
          <t>Pagos</t>
        </is>
      </c>
      <c r="C87" s="10" t="inlineStr">
        <is>
          <t>Anticipo renta liquidado año gravable anterior</t>
        </is>
      </c>
      <c r="D87" s="23">
        <f>ROUND(MAX(0,N(INPUTS_110!$D$67)),0)</f>
        <v/>
      </c>
      <c r="E87" s="10" t="inlineStr">
        <is>
          <t>Input</t>
        </is>
      </c>
      <c r="F87" s="10" t="inlineStr">
        <is>
          <t>INPUTS_110</t>
        </is>
      </c>
      <c r="G87" s="10" t="inlineStr">
        <is>
          <t>Moneda</t>
        </is>
      </c>
      <c r="H87" s="10" t="inlineStr"/>
    </row>
    <row r="88">
      <c r="A88" s="8" t="n">
        <v>104</v>
      </c>
      <c r="B88" s="8" t="inlineStr">
        <is>
          <t>Pagos</t>
        </is>
      </c>
      <c r="C88" s="10" t="inlineStr">
        <is>
          <t>Saldo a favor año gravable anterior</t>
        </is>
      </c>
      <c r="D88" s="23">
        <f>ROUND(MAX(0,N(INPUTS_110!$D$68)),0)</f>
        <v/>
      </c>
      <c r="E88" s="10" t="inlineStr">
        <is>
          <t>Input</t>
        </is>
      </c>
      <c r="F88" s="10" t="inlineStr">
        <is>
          <t>INPUTS_110</t>
        </is>
      </c>
      <c r="G88" s="10" t="inlineStr">
        <is>
          <t>Moneda</t>
        </is>
      </c>
      <c r="H88" s="10" t="inlineStr"/>
    </row>
    <row r="89">
      <c r="A89" s="8" t="n">
        <v>105</v>
      </c>
      <c r="B89" s="8" t="inlineStr">
        <is>
          <t>Pagos</t>
        </is>
      </c>
      <c r="C89" s="10" t="inlineStr">
        <is>
          <t>Autorretenciones</t>
        </is>
      </c>
      <c r="D89" s="23">
        <f>ROUND(MAX(0,N(INPUTS_110!$D$69)),0)</f>
        <v/>
      </c>
      <c r="E89" s="10" t="inlineStr">
        <is>
          <t>Input</t>
        </is>
      </c>
      <c r="F89" s="10" t="inlineStr">
        <is>
          <t>INPUTS_110</t>
        </is>
      </c>
      <c r="G89" s="10" t="inlineStr">
        <is>
          <t>Moneda</t>
        </is>
      </c>
      <c r="H89" s="10" t="inlineStr"/>
    </row>
    <row r="90">
      <c r="A90" s="8" t="n">
        <v>106</v>
      </c>
      <c r="B90" s="8" t="inlineStr">
        <is>
          <t>Pagos</t>
        </is>
      </c>
      <c r="C90" s="10" t="inlineStr">
        <is>
          <t>Otras retenciones</t>
        </is>
      </c>
      <c r="D90" s="23">
        <f>ROUND(MAX(0,N(INPUTS_110!$D$70)),0)</f>
        <v/>
      </c>
      <c r="E90" s="10" t="inlineStr">
        <is>
          <t>Input</t>
        </is>
      </c>
      <c r="F90" s="10" t="inlineStr">
        <is>
          <t>INPUTS_110</t>
        </is>
      </c>
      <c r="G90" s="10" t="inlineStr">
        <is>
          <t>Moneda</t>
        </is>
      </c>
      <c r="H90" s="10" t="inlineStr"/>
    </row>
    <row r="91">
      <c r="A91" s="24" t="n">
        <v>107</v>
      </c>
      <c r="B91" s="24" t="inlineStr">
        <is>
          <t>Pagos</t>
        </is>
      </c>
      <c r="C91" s="25" t="inlineStr">
        <is>
          <t>Total retenciones año gravable a declarar</t>
        </is>
      </c>
      <c r="D91" s="26">
        <f>ROUND(IFERROR(INDEX(LIQUIDACION_110!$D:$D,MATCH(105,LIQUIDACION_110!$A:$A,0)),0)+IFERROR(INDEX(LIQUIDACION_110!$D:$D,MATCH(106,LIQUIDACION_110!$A:$A,0)),0),0)</f>
        <v/>
      </c>
      <c r="E91" s="25" t="inlineStr">
        <is>
          <t>105 + 106</t>
        </is>
      </c>
      <c r="F91" s="25" t="inlineStr">
        <is>
          <t>Cálculo</t>
        </is>
      </c>
      <c r="G91" s="25" t="inlineStr">
        <is>
          <t>Total</t>
        </is>
      </c>
      <c r="H91" s="25" t="inlineStr"/>
    </row>
    <row r="92">
      <c r="A92" s="8" t="n">
        <v>108</v>
      </c>
      <c r="B92" s="8" t="inlineStr">
        <is>
          <t>Pagos</t>
        </is>
      </c>
      <c r="C92" s="10" t="inlineStr">
        <is>
          <t>Anticipo renta para el año gravable siguiente</t>
        </is>
      </c>
      <c r="D92" s="23">
        <f>ROUND(MAX(0,N(INPUTS_110!$D$71)),0)</f>
        <v/>
      </c>
      <c r="E92" s="10" t="inlineStr">
        <is>
          <t>Input técnico</t>
        </is>
      </c>
      <c r="F92" s="10" t="inlineStr">
        <is>
          <t>INPUTS_110</t>
        </is>
      </c>
      <c r="G92" s="10" t="inlineStr">
        <is>
          <t>Moneda</t>
        </is>
      </c>
      <c r="H92" s="10" t="inlineStr"/>
    </row>
    <row r="93">
      <c r="A93" s="8" t="n">
        <v>109</v>
      </c>
      <c r="B93" s="8" t="inlineStr">
        <is>
          <t>Pagos</t>
        </is>
      </c>
      <c r="C93" s="10" t="inlineStr">
        <is>
          <t>Anticipo puntos adicionales año gravable anterior</t>
        </is>
      </c>
      <c r="D93" s="23">
        <f>ROUND(MAX(0,N(INPUTS_110!$D$72)),0)</f>
        <v/>
      </c>
      <c r="E93" s="10" t="inlineStr">
        <is>
          <t>Input</t>
        </is>
      </c>
      <c r="F93" s="10" t="inlineStr">
        <is>
          <t>INPUTS_110</t>
        </is>
      </c>
      <c r="G93" s="10" t="inlineStr">
        <is>
          <t>Moneda</t>
        </is>
      </c>
      <c r="H93" s="10" t="inlineStr"/>
    </row>
    <row r="94">
      <c r="A94" s="8" t="n">
        <v>110</v>
      </c>
      <c r="B94" s="8" t="inlineStr">
        <is>
          <t>Pagos</t>
        </is>
      </c>
      <c r="C94" s="10" t="inlineStr">
        <is>
          <t>Anticipo puntos adicionales año gravable siguiente</t>
        </is>
      </c>
      <c r="D94" s="23">
        <f>ROUND(MAX(0,N(INPUTS_110!$D$73)),0)</f>
        <v/>
      </c>
      <c r="E94" s="10" t="inlineStr">
        <is>
          <t>Input</t>
        </is>
      </c>
      <c r="F94" s="10" t="inlineStr">
        <is>
          <t>INPUTS_110</t>
        </is>
      </c>
      <c r="G94" s="10" t="inlineStr">
        <is>
          <t>Moneda</t>
        </is>
      </c>
      <c r="H94" s="10" t="inlineStr"/>
    </row>
    <row r="95">
      <c r="A95" s="24" t="n">
        <v>111</v>
      </c>
      <c r="B95" s="24" t="inlineStr">
        <is>
          <t>Pagos</t>
        </is>
      </c>
      <c r="C95" s="25" t="inlineStr">
        <is>
          <t>Saldo a pagar por impuesto</t>
        </is>
      </c>
      <c r="D95" s="26">
        <f>ROUND(MAX(0,IFERROR(INDEX(LIQUIDACION_110!$D:$D,MATCH(99,LIQUIDACION_110!$A:$A,0)),0)+IFERROR(INDEX(LIQUIDACION_110!$D:$D,MATCH(108,LIQUIDACION_110!$A:$A,0)),0)+IFERROR(INDEX(LIQUIDACION_110!$D:$D,MATCH(110,LIQUIDACION_110!$A:$A,0)),0)-IFERROR(INDEX(LIQUIDACION_110!$D:$D,MATCH(100,LIQUIDACION_110!$A:$A,0)),0)-IFERROR(INDEX(LIQUIDACION_110!$D:$D,MATCH(101,LIQUIDACION_110!$A:$A,0)),0)-IFERROR(INDEX(LIQUIDACION_110!$D:$D,MATCH(102,LIQUIDACION_110!$A:$A,0)),0)-IFERROR(INDEX(LIQUIDACION_110!$D:$D,MATCH(103,LIQUIDACION_110!$A:$A,0)),0)-IFERROR(INDEX(LIQUIDACION_110!$D:$D,MATCH(104,LIQUIDACION_110!$A:$A,0)),0)-IFERROR(INDEX(LIQUIDACION_110!$D:$D,MATCH(107,LIQUIDACION_110!$A:$A,0)),0)-IFERROR(INDEX(LIQUIDACION_110!$D:$D,MATCH(109,LIQUIDACION_110!$A:$A,0)),0)),0)</f>
        <v/>
      </c>
      <c r="E95" s="25" t="inlineStr">
        <is>
          <t>99 + 108 + 110 - 100 - 101 - 102 - 103 - 104 - 107 - 109</t>
        </is>
      </c>
      <c r="F95" s="25" t="inlineStr">
        <is>
          <t>Cálculo</t>
        </is>
      </c>
      <c r="G95" s="25" t="inlineStr">
        <is>
          <t>Total</t>
        </is>
      </c>
      <c r="H95" s="25" t="inlineStr"/>
    </row>
    <row r="96">
      <c r="A96" s="8" t="n">
        <v>112</v>
      </c>
      <c r="B96" s="8" t="inlineStr">
        <is>
          <t>Pagos</t>
        </is>
      </c>
      <c r="C96" s="10" t="inlineStr">
        <is>
          <t>Sanciones</t>
        </is>
      </c>
      <c r="D96" s="23">
        <f>ROUND(MAX(0,N(INPUTS_110!$D$74)),0)</f>
        <v/>
      </c>
      <c r="E96" s="10" t="inlineStr">
        <is>
          <t>Input</t>
        </is>
      </c>
      <c r="F96" s="10" t="inlineStr">
        <is>
          <t>INPUTS_110</t>
        </is>
      </c>
      <c r="G96" s="10" t="inlineStr">
        <is>
          <t>Moneda</t>
        </is>
      </c>
      <c r="H96" s="10" t="inlineStr"/>
    </row>
    <row r="97">
      <c r="A97" s="24" t="n">
        <v>113</v>
      </c>
      <c r="B97" s="24" t="inlineStr">
        <is>
          <t>Pagos</t>
        </is>
      </c>
      <c r="C97" s="25" t="inlineStr">
        <is>
          <t>Total saldo a pagar</t>
        </is>
      </c>
      <c r="D97" s="26">
        <f>ROUND(MAX(0,IFERROR(INDEX(LIQUIDACION_110!$D:$D,MATCH(99,LIQUIDACION_110!$A:$A,0)),0)+IFERROR(INDEX(LIQUIDACION_110!$D:$D,MATCH(108,LIQUIDACION_110!$A:$A,0)),0)+IFERROR(INDEX(LIQUIDACION_110!$D:$D,MATCH(110,LIQUIDACION_110!$A:$A,0)),0)+IFERROR(INDEX(LIQUIDACION_110!$D:$D,MATCH(112,LIQUIDACION_110!$A:$A,0)),0)-IFERROR(INDEX(LIQUIDACION_110!$D:$D,MATCH(100,LIQUIDACION_110!$A:$A,0)),0)-IFERROR(INDEX(LIQUIDACION_110!$D:$D,MATCH(101,LIQUIDACION_110!$A:$A,0)),0)-IFERROR(INDEX(LIQUIDACION_110!$D:$D,MATCH(102,LIQUIDACION_110!$A:$A,0)),0)-IFERROR(INDEX(LIQUIDACION_110!$D:$D,MATCH(103,LIQUIDACION_110!$A:$A,0)),0)-IFERROR(INDEX(LIQUIDACION_110!$D:$D,MATCH(104,LIQUIDACION_110!$A:$A,0)),0)-IFERROR(INDEX(LIQUIDACION_110!$D:$D,MATCH(107,LIQUIDACION_110!$A:$A,0)),0)-IFERROR(INDEX(LIQUIDACION_110!$D:$D,MATCH(109,LIQUIDACION_110!$A:$A,0)),0)),0)</f>
        <v/>
      </c>
      <c r="E97" s="25" t="inlineStr">
        <is>
          <t>99 + 108 + 110 + 112 - descuentos y anticipos</t>
        </is>
      </c>
      <c r="F97" s="25" t="inlineStr">
        <is>
          <t>Cálculo</t>
        </is>
      </c>
      <c r="G97" s="25" t="inlineStr">
        <is>
          <t>Total</t>
        </is>
      </c>
      <c r="H97" s="25" t="inlineStr"/>
    </row>
    <row r="98">
      <c r="A98" s="24" t="n">
        <v>114</v>
      </c>
      <c r="B98" s="24" t="inlineStr">
        <is>
          <t>Pagos</t>
        </is>
      </c>
      <c r="C98" s="25" t="inlineStr">
        <is>
          <t>Total saldo a favor</t>
        </is>
      </c>
      <c r="D98" s="26">
        <f>ROUND(MAX(0,IFERROR(INDEX(LIQUIDACION_110!$D:$D,MATCH(100,LIQUIDACION_110!$A:$A,0)),0)+IFERROR(INDEX(LIQUIDACION_110!$D:$D,MATCH(101,LIQUIDACION_110!$A:$A,0)),0)+IFERROR(INDEX(LIQUIDACION_110!$D:$D,MATCH(102,LIQUIDACION_110!$A:$A,0)),0)+IFERROR(INDEX(LIQUIDACION_110!$D:$D,MATCH(103,LIQUIDACION_110!$A:$A,0)),0)+IFERROR(INDEX(LIQUIDACION_110!$D:$D,MATCH(104,LIQUIDACION_110!$A:$A,0)),0)+IFERROR(INDEX(LIQUIDACION_110!$D:$D,MATCH(107,LIQUIDACION_110!$A:$A,0)),0)+IFERROR(INDEX(LIQUIDACION_110!$D:$D,MATCH(109,LIQUIDACION_110!$A:$A,0)),0)-IFERROR(INDEX(LIQUIDACION_110!$D:$D,MATCH(99,LIQUIDACION_110!$A:$A,0)),0)-IFERROR(INDEX(LIQUIDACION_110!$D:$D,MATCH(108,LIQUIDACION_110!$A:$A,0)),0)-IFERROR(INDEX(LIQUIDACION_110!$D:$D,MATCH(110,LIQUIDACION_110!$A:$A,0)),0)-IFERROR(INDEX(LIQUIDACION_110!$D:$D,MATCH(112,LIQUIDACION_110!$A:$A,0)),0)),0)</f>
        <v/>
      </c>
      <c r="E98" s="25" t="inlineStr">
        <is>
          <t>Descuentos y anticipos - 99 - 108 - 110 - 112</t>
        </is>
      </c>
      <c r="F98" s="25" t="inlineStr">
        <is>
          <t>Cálculo</t>
        </is>
      </c>
      <c r="G98" s="25" t="inlineStr">
        <is>
          <t>Total</t>
        </is>
      </c>
      <c r="H98" s="25" t="inlineStr"/>
    </row>
    <row r="99">
      <c r="A99" s="8" t="n">
        <v>115</v>
      </c>
      <c r="B99" s="8" t="inlineStr">
        <is>
          <t>Pagos</t>
        </is>
      </c>
      <c r="C99" s="10" t="inlineStr">
        <is>
          <t>Valor impuesto exigible por obras por impuestos modalidad 1</t>
        </is>
      </c>
      <c r="D99" s="23">
        <f>ROUND(IFERROR(INDEX(LIQUIDACION_110!$D:$D,MATCH(100,LIQUIDACION_110!$A:$A,0)),0),0)</f>
        <v/>
      </c>
      <c r="E99" s="10" t="inlineStr">
        <is>
          <t>Corresponde a casilla 100</t>
        </is>
      </c>
      <c r="F99" s="10" t="inlineStr">
        <is>
          <t>Cálculo</t>
        </is>
      </c>
      <c r="G99" s="10" t="inlineStr">
        <is>
          <t>Moneda</t>
        </is>
      </c>
      <c r="H99" s="10" t="inlineStr"/>
    </row>
    <row r="100">
      <c r="A100" s="8" t="n">
        <v>116</v>
      </c>
      <c r="B100" s="8" t="inlineStr">
        <is>
          <t>Pagos</t>
        </is>
      </c>
      <c r="C100" s="10" t="inlineStr">
        <is>
          <t>Valor total proyecto obras por impuestos modalidad 2</t>
        </is>
      </c>
      <c r="D100" s="23">
        <f>ROUND(MAX(0,BENEFICIOS_Y_LIMITES!$D$51),0)</f>
        <v/>
      </c>
      <c r="E100" s="10" t="inlineStr">
        <is>
          <t>Informativo</t>
        </is>
      </c>
      <c r="F100" s="10" t="inlineStr">
        <is>
          <t>BENEFICIOS_Y_LIMITES</t>
        </is>
      </c>
      <c r="G100" s="10" t="inlineStr">
        <is>
          <t>Moneda</t>
        </is>
      </c>
      <c r="H100" s="10" t="inlineStr"/>
    </row>
    <row r="101">
      <c r="A101" s="8" t="n">
        <v>117</v>
      </c>
      <c r="B101" s="8" t="inlineStr">
        <is>
          <t>Pagos</t>
        </is>
      </c>
      <c r="C101" s="10" t="inlineStr">
        <is>
          <t>Aporte voluntario art. 244-1 E.T.</t>
        </is>
      </c>
      <c r="D101" s="23">
        <f>ROUND(MAX(0,N(INPUTS_110!$D$75)),0)</f>
        <v/>
      </c>
      <c r="E101" s="10" t="inlineStr">
        <is>
          <t>Input voluntario</t>
        </is>
      </c>
      <c r="F101" s="10" t="inlineStr">
        <is>
          <t>INPUTS_110</t>
        </is>
      </c>
      <c r="G101" s="10" t="inlineStr">
        <is>
          <t>Moneda</t>
        </is>
      </c>
      <c r="H101" s="10" t="inlineStr">
        <is>
          <t>Se paga con recibo separado.</t>
        </is>
      </c>
    </row>
    <row r="102">
      <c r="A102" s="24" t="n">
        <v>980</v>
      </c>
      <c r="B102" s="24" t="inlineStr">
        <is>
          <t>Pagos</t>
        </is>
      </c>
      <c r="C102" s="25" t="inlineStr">
        <is>
          <t>Pago total</t>
        </is>
      </c>
      <c r="D102" s="26">
        <f>ROUND(MAX(0,IFERROR(INDEX(LIQUIDACION_110!$D:$D,MATCH(113,LIQUIDACION_110!$A:$A,0)),0))+MAX(0,IFERROR(INDEX(LIQUIDACION_110!$D:$D,MATCH(117,LIQUIDACION_110!$A:$A,0)),0)),0)</f>
        <v/>
      </c>
      <c r="E102" s="25" t="inlineStr">
        <is>
          <t>Saldo a pagar + aporte voluntario</t>
        </is>
      </c>
      <c r="F102" s="25" t="inlineStr">
        <is>
          <t>Cálculo</t>
        </is>
      </c>
      <c r="G102" s="25" t="inlineStr">
        <is>
          <t>Total</t>
        </is>
      </c>
      <c r="H102" s="25" t="inlineStr"/>
    </row>
  </sheetData>
  <mergeCells count="2">
    <mergeCell ref="A2:H2"/>
    <mergeCell ref="A1:H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HazelRo</dc:creator>
  <dcterms:created xmlns:dcterms="http://purl.org/dc/terms/" xmlns:xsi="http://www.w3.org/2001/XMLSchema-instance" xsi:type="dcterms:W3CDTF">2026-03-29T18:28:31Z</dcterms:created>
  <dcterms:modified xmlns:dcterms="http://purl.org/dc/terms/" xmlns:xsi="http://www.w3.org/2001/XMLSchema-instance" xsi:type="dcterms:W3CDTF">2026-04-22T01:50:16Z</dcterms:modified>
  <cp:lastModifiedBy>HazelRo</cp:lastModifiedBy>
</cp:coreProperties>
</file>